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0185" tabRatio="296" activeTab="0"/>
  </bookViews>
  <sheets>
    <sheet name="PresupTotal" sheetId="1" r:id="rId1"/>
    <sheet name="Hoja1" sheetId="2" r:id="rId2"/>
    <sheet name="Extralímite" sheetId="3" r:id="rId3"/>
  </sheets>
  <definedNames>
    <definedName name="_xlnm.Print_Titles" localSheetId="0">'PresupTotal'!$5:$6</definedName>
  </definedNames>
  <calcPr fullCalcOnLoad="1"/>
</workbook>
</file>

<file path=xl/comments1.xml><?xml version="1.0" encoding="utf-8"?>
<comments xmlns="http://schemas.openxmlformats.org/spreadsheetml/2006/main">
  <authors>
    <author>Maximo Valverde Villalobos</author>
    <author>Grace Diaz</author>
    <author>Ministerio de Agricultura y Ganaderia</author>
  </authors>
  <commentList>
    <comment ref="C32" authorId="0">
      <text>
        <r>
          <rPr>
            <sz val="9"/>
            <rFont val="Tahoma"/>
            <family val="2"/>
          </rPr>
          <t>Recursos para la feria del Gustico costarricense</t>
        </r>
      </text>
    </comment>
    <comment ref="C33" authorId="0">
      <text>
        <r>
          <rPr>
            <b/>
            <sz val="9"/>
            <rFont val="Tahoma"/>
            <family val="2"/>
          </rPr>
          <t xml:space="preserve"> Alquiler de Impresoras</t>
        </r>
      </text>
    </comment>
    <comment ref="E42" authorId="0">
      <text>
        <r>
          <rPr>
            <b/>
            <sz val="9"/>
            <rFont val="Tahoma"/>
            <family val="2"/>
          </rPr>
          <t>Maximo Valverde Villalobos:</t>
        </r>
        <r>
          <rPr>
            <sz val="9"/>
            <rFont val="Tahoma"/>
            <family val="2"/>
          </rPr>
          <t xml:space="preserve">
260.000</t>
        </r>
      </text>
    </comment>
    <comment ref="C51" authorId="0">
      <text>
        <r>
          <rPr>
            <sz val="9"/>
            <rFont val="Tahoma"/>
            <family val="2"/>
          </rPr>
          <t xml:space="preserve">Faltan los 93 millones de deuda
</t>
        </r>
      </text>
    </comment>
    <comment ref="C64" authorId="0">
      <text>
        <r>
          <rPr>
            <sz val="9"/>
            <rFont val="Tahoma"/>
            <family val="2"/>
          </rPr>
          <t>18 millones reparación exterior edificio central (banquinas) y 17 millones mantenimiento normal</t>
        </r>
      </text>
    </comment>
    <comment ref="C75" authorId="0">
      <text>
        <r>
          <rPr>
            <b/>
            <sz val="9"/>
            <rFont val="Tahoma"/>
            <family val="2"/>
          </rPr>
          <t xml:space="preserve">se rebajaron </t>
        </r>
        <r>
          <rPr>
            <sz val="9"/>
            <rFont val="Tahoma"/>
            <family val="2"/>
          </rPr>
          <t>13.000.000</t>
        </r>
      </text>
    </comment>
    <comment ref="C89" authorId="0">
      <text>
        <r>
          <rPr>
            <b/>
            <sz val="9"/>
            <rFont val="Tahoma"/>
            <family val="2"/>
          </rPr>
          <t xml:space="preserve">Rebaja de </t>
        </r>
        <r>
          <rPr>
            <sz val="9"/>
            <rFont val="Tahoma"/>
            <family val="2"/>
          </rPr>
          <t xml:space="preserve">15.200.000
</t>
        </r>
      </text>
    </comment>
    <comment ref="C95" authorId="0">
      <text>
        <r>
          <rPr>
            <sz val="9"/>
            <rFont val="Tahoma"/>
            <family val="2"/>
          </rPr>
          <t>Se eliminoron 1.000.000</t>
        </r>
      </text>
    </comment>
    <comment ref="C97" authorId="0">
      <text>
        <r>
          <rPr>
            <b/>
            <sz val="9"/>
            <rFont val="Tahoma"/>
            <family val="2"/>
          </rPr>
          <t xml:space="preserve">Rebaja de </t>
        </r>
        <r>
          <rPr>
            <sz val="9"/>
            <rFont val="Tahoma"/>
            <family val="2"/>
          </rPr>
          <t>27.500.000</t>
        </r>
      </text>
    </comment>
    <comment ref="C98" authorId="0">
      <text>
        <r>
          <rPr>
            <b/>
            <sz val="9"/>
            <rFont val="Tahoma"/>
            <family val="2"/>
          </rPr>
          <t xml:space="preserve">Rebaja </t>
        </r>
        <r>
          <rPr>
            <sz val="9"/>
            <rFont val="Tahoma"/>
            <family val="2"/>
          </rPr>
          <t>1.000.000</t>
        </r>
      </text>
    </comment>
    <comment ref="C103" authorId="0">
      <text>
        <r>
          <rPr>
            <b/>
            <sz val="9"/>
            <rFont val="Tahoma"/>
            <family val="2"/>
          </rPr>
          <t xml:space="preserve">Rebaja de </t>
        </r>
        <r>
          <rPr>
            <sz val="9"/>
            <rFont val="Tahoma"/>
            <family val="2"/>
          </rPr>
          <t>1.000.000</t>
        </r>
      </text>
    </comment>
    <comment ref="C104" authorId="0">
      <text>
        <r>
          <rPr>
            <b/>
            <sz val="9"/>
            <rFont val="Tahoma"/>
            <family val="2"/>
          </rPr>
          <t xml:space="preserve">Rebaja de </t>
        </r>
        <r>
          <rPr>
            <sz val="9"/>
            <rFont val="Tahoma"/>
            <family val="2"/>
          </rPr>
          <t xml:space="preserve">2.000.000
</t>
        </r>
      </text>
    </comment>
    <comment ref="C105" authorId="0">
      <text>
        <r>
          <rPr>
            <b/>
            <sz val="9"/>
            <rFont val="Tahoma"/>
            <family val="2"/>
          </rPr>
          <t xml:space="preserve">Rebaja de </t>
        </r>
        <r>
          <rPr>
            <sz val="9"/>
            <rFont val="Tahoma"/>
            <family val="2"/>
          </rPr>
          <t>2.000.000</t>
        </r>
      </text>
    </comment>
    <comment ref="C106" authorId="0">
      <text>
        <r>
          <rPr>
            <b/>
            <sz val="9"/>
            <rFont val="Tahoma"/>
            <family val="2"/>
          </rPr>
          <t xml:space="preserve">Rebaja de </t>
        </r>
        <r>
          <rPr>
            <sz val="9"/>
            <rFont val="Tahoma"/>
            <family val="2"/>
          </rPr>
          <t>500.000</t>
        </r>
      </text>
    </comment>
    <comment ref="C111" authorId="0">
      <text>
        <r>
          <rPr>
            <sz val="9"/>
            <rFont val="Tahoma"/>
            <family val="2"/>
          </rPr>
          <t>Rebaja de 75.000.000</t>
        </r>
      </text>
    </comment>
    <comment ref="C114" authorId="0">
      <text>
        <r>
          <rPr>
            <b/>
            <sz val="9"/>
            <rFont val="Tahoma"/>
            <family val="2"/>
          </rPr>
          <t xml:space="preserve">Rebaja de </t>
        </r>
        <r>
          <rPr>
            <sz val="9"/>
            <rFont val="Tahoma"/>
            <family val="2"/>
          </rPr>
          <t xml:space="preserve">15.000.000
</t>
        </r>
      </text>
    </comment>
    <comment ref="E115" authorId="0">
      <text>
        <r>
          <rPr>
            <sz val="9"/>
            <rFont val="Tahoma"/>
            <family val="2"/>
          </rPr>
          <t>123 PC (reemplazo pcs w vista y UPS) de acuerdo al plan de remplazo y el PTIC</t>
        </r>
      </text>
    </comment>
    <comment ref="C115" authorId="0">
      <text>
        <r>
          <rPr>
            <sz val="9"/>
            <rFont val="Tahoma"/>
            <family val="2"/>
          </rPr>
          <t xml:space="preserve">41 PC (reemplazo pcs w vista) de acuerdo al plan de remplazo y el PTIC y licencias </t>
        </r>
      </text>
    </comment>
    <comment ref="C118" authorId="0">
      <text>
        <r>
          <rPr>
            <b/>
            <sz val="9"/>
            <rFont val="Tahoma"/>
            <family val="2"/>
          </rPr>
          <t xml:space="preserve">Rebaja de </t>
        </r>
        <r>
          <rPr>
            <sz val="9"/>
            <rFont val="Tahoma"/>
            <family val="2"/>
          </rPr>
          <t>1.500.000</t>
        </r>
      </text>
    </comment>
    <comment ref="C120" authorId="0">
      <text>
        <r>
          <rPr>
            <b/>
            <sz val="9"/>
            <rFont val="Tahoma"/>
            <family val="2"/>
          </rPr>
          <t xml:space="preserve">Reabaja de </t>
        </r>
        <r>
          <rPr>
            <sz val="9"/>
            <rFont val="Tahoma"/>
            <family val="2"/>
          </rPr>
          <t>20.000.000</t>
        </r>
      </text>
    </comment>
    <comment ref="C125" authorId="0">
      <text>
        <r>
          <rPr>
            <b/>
            <sz val="9"/>
            <rFont val="Tahoma"/>
            <family val="2"/>
          </rPr>
          <t>La solicitud de 500 millones mas se enviaron Extralimite.
Se rebajaron el contenido de las 29 plazas de servicios especiales</t>
        </r>
      </text>
    </comment>
    <comment ref="C126" authorId="0">
      <text>
        <r>
          <rPr>
            <sz val="9"/>
            <rFont val="Tahoma"/>
            <family val="2"/>
          </rPr>
          <t>650 Manual de puestos - cubrir este dinero con lo de los $2</t>
        </r>
      </text>
    </comment>
    <comment ref="C135" authorId="0">
      <text>
        <r>
          <rPr>
            <sz val="9"/>
            <rFont val="Tahoma"/>
            <family val="2"/>
          </rPr>
          <t>Extralimite 211 millones para operación.
1400 millones para el proyecto de Agua poara Guanancaste</t>
        </r>
      </text>
    </comment>
    <comment ref="C148" authorId="0">
      <text>
        <r>
          <rPr>
            <sz val="9"/>
            <rFont val="Tahoma"/>
            <family val="2"/>
          </rPr>
          <t xml:space="preserve">Monto Para pagos debido al estudio de puestios de la reorganización </t>
        </r>
      </text>
    </comment>
    <comment ref="E112" authorId="1">
      <text>
        <r>
          <rPr>
            <sz val="9"/>
            <rFont val="Tahoma"/>
            <family val="2"/>
          </rPr>
          <t xml:space="preserve">Compra de </t>
        </r>
        <r>
          <rPr>
            <sz val="9"/>
            <rFont val="Tahoma"/>
            <family val="2"/>
          </rPr>
          <t>Drone para DR Huetar Norte</t>
        </r>
        <r>
          <rPr>
            <sz val="9"/>
            <rFont val="Tahoma"/>
            <family val="2"/>
          </rPr>
          <t xml:space="preserve"> - Plan Piloto</t>
        </r>
        <r>
          <rPr>
            <sz val="9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9"/>
            <rFont val="Tahoma"/>
            <family val="2"/>
          </rPr>
          <t>Maximo Valverde Villalobos:</t>
        </r>
        <r>
          <rPr>
            <sz val="9"/>
            <rFont val="Tahoma"/>
            <family val="2"/>
          </rPr>
          <t xml:space="preserve">
260.000</t>
        </r>
      </text>
    </comment>
    <comment ref="H112" authorId="1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Drone para DR Huetar Norte
</t>
        </r>
      </text>
    </comment>
    <comment ref="H115" authorId="0">
      <text>
        <r>
          <rPr>
            <b/>
            <sz val="9"/>
            <rFont val="Tahoma"/>
            <family val="2"/>
          </rPr>
          <t>Maximo Valverde Villalobos:</t>
        </r>
        <r>
          <rPr>
            <sz val="9"/>
            <rFont val="Tahoma"/>
            <family val="2"/>
          </rPr>
          <t xml:space="preserve">
123 PC (reemplazo pcs w vista)</t>
        </r>
      </text>
    </comment>
    <comment ref="H134" authorId="1">
      <text>
        <r>
          <rPr>
            <sz val="9"/>
            <rFont val="Tahoma"/>
            <family val="2"/>
          </rPr>
          <t>108+57, se ajusta a los 165 millones solicitados</t>
        </r>
        <r>
          <rPr>
            <sz val="9"/>
            <rFont val="Tahoma"/>
            <family val="2"/>
          </rPr>
          <t xml:space="preserve">
</t>
        </r>
      </text>
    </comment>
    <comment ref="E120" authorId="1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Continuación construcción Agencia de Jicaral</t>
        </r>
      </text>
    </comment>
    <comment ref="C59" authorId="2">
      <text>
        <r>
          <rPr>
            <b/>
            <sz val="9"/>
            <rFont val="Times New Roman"/>
            <family val="1"/>
          </rPr>
          <t xml:space="preserve">Seguro Laboral 100 y Vehicular 166
</t>
        </r>
      </text>
    </comment>
    <comment ref="C132" authorId="2">
      <text>
        <r>
          <rPr>
            <b/>
            <sz val="9"/>
            <rFont val="Times New Roman"/>
            <family val="1"/>
          </rPr>
          <t>Unidad Ejecutora - Proyecto Mercado Chorotega</t>
        </r>
      </text>
    </comment>
    <comment ref="C134" authorId="2">
      <text>
        <r>
          <rPr>
            <sz val="9"/>
            <rFont val="Times New Roman"/>
            <family val="1"/>
          </rPr>
          <t xml:space="preserve">Estan Solicitando 165 millones más - En esta trasferencia se les esta dando 108 millones demas 
</t>
        </r>
      </text>
    </comment>
    <comment ref="C154" authorId="2">
      <text>
        <r>
          <rPr>
            <b/>
            <sz val="9"/>
            <rFont val="Times New Roman"/>
            <family val="1"/>
          </rPr>
          <t>Valorar el convenio y de ser pertinente cancelar el mismo.</t>
        </r>
        <r>
          <rPr>
            <sz val="9"/>
            <rFont val="Times New Roman"/>
            <family val="1"/>
          </rPr>
          <t xml:space="preserve">
</t>
        </r>
      </text>
    </comment>
    <comment ref="E158" authorId="2">
      <text>
        <r>
          <rPr>
            <b/>
            <sz val="9"/>
            <rFont val="Times New Roman"/>
            <family val="1"/>
          </rPr>
          <t>Ley 8114</t>
        </r>
        <r>
          <rPr>
            <sz val="9"/>
            <rFont val="Times New Roman"/>
            <family val="1"/>
          </rPr>
          <t xml:space="preserve">
</t>
        </r>
      </text>
    </comment>
    <comment ref="C162" authorId="2">
      <text>
        <r>
          <rPr>
            <b/>
            <sz val="9"/>
            <rFont val="Times New Roman"/>
            <family val="1"/>
          </rPr>
          <t>Ley CORBANA</t>
        </r>
      </text>
    </comment>
    <comment ref="D82" authorId="2">
      <text>
        <r>
          <rPr>
            <b/>
            <sz val="9"/>
            <rFont val="Times New Roman"/>
            <family val="1"/>
          </rPr>
          <t>Las Impresoras estan ya contratadas, Se aplico una rebaja de 1.5 millones.</t>
        </r>
        <r>
          <rPr>
            <sz val="9"/>
            <rFont val="Times New Roman"/>
            <family val="1"/>
          </rPr>
          <t xml:space="preserve">
</t>
        </r>
      </text>
    </comment>
    <comment ref="E64" authorId="2">
      <text>
        <r>
          <rPr>
            <b/>
            <sz val="9"/>
            <rFont val="Times New Roman"/>
            <family val="1"/>
          </rPr>
          <t>Mantenimiento y remodelación de agencias de acuerdo al plan presentado por cada direcciónRegional</t>
        </r>
        <r>
          <rPr>
            <sz val="9"/>
            <rFont val="Times New Roman"/>
            <family val="1"/>
          </rPr>
          <t xml:space="preserve">
</t>
        </r>
      </text>
    </comment>
    <comment ref="C47" authorId="2">
      <text>
        <r>
          <rPr>
            <b/>
            <sz val="9"/>
            <rFont val="Times New Roman"/>
            <family val="1"/>
          </rPr>
          <t>Proyecto continuidad del negocio, servidores espejo.</t>
        </r>
        <r>
          <rPr>
            <sz val="9"/>
            <rFont val="Times New Roman"/>
            <family val="1"/>
          </rPr>
          <t xml:space="preserve">
</t>
        </r>
      </text>
    </comment>
    <comment ref="C50" authorId="2">
      <text>
        <r>
          <rPr>
            <b/>
            <sz val="9"/>
            <rFont val="Times New Roman"/>
            <family val="1"/>
          </rPr>
          <t>Proyecto de redes, Racks y otros dispositivos</t>
        </r>
      </text>
    </comment>
    <comment ref="H51" authorId="2">
      <text>
        <r>
          <rPr>
            <b/>
            <sz val="9"/>
            <rFont val="Times New Roman"/>
            <family val="1"/>
          </rPr>
          <t xml:space="preserve">Pago de reajuste de precios a la antigua empresa de Limpieza, resolución emitida por el MH </t>
        </r>
        <r>
          <rPr>
            <sz val="9"/>
            <rFont val="Times New Roman"/>
            <family val="1"/>
          </rPr>
          <t xml:space="preserve">
</t>
        </r>
      </text>
    </comment>
    <comment ref="H135" authorId="2">
      <text>
        <r>
          <rPr>
            <b/>
            <sz val="9"/>
            <rFont val="Times New Roman"/>
            <family val="1"/>
          </rPr>
          <t>Suma de los 1400 millones del Proyecto Agua para Guanacaste mas los 211 para actividades operativas</t>
        </r>
      </text>
    </comment>
  </commentList>
</comments>
</file>

<file path=xl/comments3.xml><?xml version="1.0" encoding="utf-8"?>
<comments xmlns="http://schemas.openxmlformats.org/spreadsheetml/2006/main">
  <authors>
    <author>Ministerio de Agricultura y Ganaderia</author>
    <author>Grace Diaz</author>
  </authors>
  <commentList>
    <comment ref="C9" authorId="0">
      <text>
        <r>
          <rPr>
            <b/>
            <sz val="9"/>
            <rFont val="Times New Roman"/>
            <family val="1"/>
          </rPr>
          <t xml:space="preserve">Pago de reajuste de precios a la antigua empresa de Limpieza, resolución emitida por el MH </t>
        </r>
        <r>
          <rPr>
            <sz val="9"/>
            <rFont val="Times New Roman"/>
            <family val="1"/>
          </rPr>
          <t xml:space="preserve">
</t>
        </r>
      </text>
    </comment>
    <comment ref="C16" authorId="1">
      <text>
        <r>
          <rPr>
            <sz val="9"/>
            <rFont val="Tahoma"/>
            <family val="2"/>
          </rPr>
          <t>108+57, se ajusta a los 165 millones solicitados</t>
        </r>
        <r>
          <rPr>
            <sz val="9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rFont val="Times New Roman"/>
            <family val="1"/>
          </rPr>
          <t>Suma de los 1400 millones del Proyecto Agua para Guanacaste mas los 211 para actividades operativas</t>
        </r>
      </text>
    </comment>
  </commentList>
</comments>
</file>

<file path=xl/sharedStrings.xml><?xml version="1.0" encoding="utf-8"?>
<sst xmlns="http://schemas.openxmlformats.org/spreadsheetml/2006/main" count="338" uniqueCount="303">
  <si>
    <t>SUB.</t>
  </si>
  <si>
    <t>Sueldos para cargos fijos</t>
  </si>
  <si>
    <t>Salario escolar</t>
  </si>
  <si>
    <t>Transporte dentro del país</t>
  </si>
  <si>
    <t>Seguros</t>
  </si>
  <si>
    <t>MATERIALES Y SUMINISTROS</t>
  </si>
  <si>
    <t>Otros productos químicos</t>
  </si>
  <si>
    <t>Utiles y materiales de limpieza</t>
  </si>
  <si>
    <t>Prestaciones legales</t>
  </si>
  <si>
    <t>TOTAL</t>
  </si>
  <si>
    <t>MINISTERIO DE AGRICULTURA Y GANADERIA</t>
  </si>
  <si>
    <t>TRANSFERENCIAS CORRIENTES</t>
  </si>
  <si>
    <t>REMUNERACIONES</t>
  </si>
  <si>
    <t>Remuneraciones eventuales</t>
  </si>
  <si>
    <t>Incentivos salariales</t>
  </si>
  <si>
    <t>Remuneraciones básicas</t>
  </si>
  <si>
    <t>Tiempo extraordinario</t>
  </si>
  <si>
    <t>Retribución por años servidos</t>
  </si>
  <si>
    <t>Restricción al ejercicio liberal de la profesión</t>
  </si>
  <si>
    <t>Decimotercer mes</t>
  </si>
  <si>
    <t>Otros incentivos salariales</t>
  </si>
  <si>
    <t>Contribuc. Patronal al Seguro de Salud C.C.S.S.</t>
  </si>
  <si>
    <t>Contribuc. Patronal Banco Popular y Desarrollo Comunal</t>
  </si>
  <si>
    <t>Contribuciones Pat. Fondo Pensiones y otros Fondos Cap.</t>
  </si>
  <si>
    <t>Contribuc. Patronal al Seguro de Pensiones C.C.S.S.</t>
  </si>
  <si>
    <t>Aporte Patronal Regimen Obligatorio Pensiones Comp.</t>
  </si>
  <si>
    <t>Aporte Patronal Fondo Capitalización Laboral</t>
  </si>
  <si>
    <t>SERVICIOS</t>
  </si>
  <si>
    <t>Alquiler de edificios, locales y terrenos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</si>
  <si>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</si>
  <si>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</si>
  <si>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</si>
  <si>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</si>
  <si>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</si>
  <si>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 comerciales y financieros</t>
  </si>
  <si>
    <t>Publicidad y propaganda</t>
  </si>
  <si>
    <t>Gastos de viaje y de transporte</t>
  </si>
  <si>
    <t>Viáticos dentro del país</t>
  </si>
  <si>
    <t>Transporte en el exterior</t>
  </si>
  <si>
    <t>Viáticos en el exterior</t>
  </si>
  <si>
    <t>Seguros, reaseguros y otras obligaciones</t>
  </si>
  <si>
    <t>Mantenimiento y reparación</t>
  </si>
  <si>
    <t>0.01</t>
  </si>
  <si>
    <t>0.01.01</t>
  </si>
  <si>
    <t>0.02</t>
  </si>
  <si>
    <t>0.02.01</t>
  </si>
  <si>
    <t>0.03</t>
  </si>
  <si>
    <t>0.03.01</t>
  </si>
  <si>
    <t>0.03.02</t>
  </si>
  <si>
    <t>0.03.03</t>
  </si>
  <si>
    <t>0.03.04</t>
  </si>
  <si>
    <t>0.03.99</t>
  </si>
  <si>
    <t>0.04</t>
  </si>
  <si>
    <t>0.04.01</t>
  </si>
  <si>
    <t>0.04.05</t>
  </si>
  <si>
    <t>0.05</t>
  </si>
  <si>
    <t>0.05.01</t>
  </si>
  <si>
    <t>0.05.02</t>
  </si>
  <si>
    <t>0.05.03</t>
  </si>
  <si>
    <t>1.02.01</t>
  </si>
  <si>
    <t>1.02.02</t>
  </si>
  <si>
    <t>1.02.03</t>
  </si>
  <si>
    <t>1.02.04</t>
  </si>
  <si>
    <t>1.02.99</t>
  </si>
  <si>
    <t>1.03.02</t>
  </si>
  <si>
    <t>1.03.03</t>
  </si>
  <si>
    <t>1.05.01</t>
  </si>
  <si>
    <t>1.05.02</t>
  </si>
  <si>
    <t>1.05.03</t>
  </si>
  <si>
    <t>1.05.04</t>
  </si>
  <si>
    <t>1.08.01</t>
  </si>
  <si>
    <t>1.08.05</t>
  </si>
  <si>
    <t>1.08.06</t>
  </si>
  <si>
    <t>1.08.07</t>
  </si>
  <si>
    <t>1.08.08</t>
  </si>
  <si>
    <t>Mantenimiento de edificios y locales</t>
  </si>
  <si>
    <t>Mantenimiento y reparación de equipo de transporte</t>
  </si>
  <si>
    <t>Mantenimiento y reparación de equipo de comunicación</t>
  </si>
  <si>
    <t>Mantenimiento y reparación de equipo y mob. Oficina</t>
  </si>
  <si>
    <t>Mantenimiento y reparación de equipo cómputo y sist.</t>
  </si>
  <si>
    <t>Mantenimiento y reparación de otros equipos</t>
  </si>
  <si>
    <t>1.08.99</t>
  </si>
  <si>
    <t>Contribuciones Pat. al Desarrollo y la Seguridad Social</t>
  </si>
  <si>
    <t>1.01.01</t>
  </si>
  <si>
    <t>Alquileres</t>
  </si>
  <si>
    <t>Servicios diversos</t>
  </si>
  <si>
    <t>Productos químicos y conexos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</si>
  <si>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</si>
  <si>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</si>
  <si>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</si>
  <si>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</si>
  <si>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</si>
  <si>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</si>
  <si>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>2.01.99</t>
  </si>
  <si>
    <t>Alimentos y productos agropecuarios</t>
  </si>
  <si>
    <t>2.02.03</t>
  </si>
  <si>
    <t>Alimentos y bebidas</t>
  </si>
  <si>
    <t>Materiales y productos uso construcción y mantenim.</t>
  </si>
  <si>
    <t>2.03.01</t>
  </si>
  <si>
    <t>Materiales y productos metálicos</t>
  </si>
  <si>
    <t>2.03.02</t>
  </si>
  <si>
    <t>Materiales y productos minerales y asfálticos</t>
  </si>
  <si>
    <t>2.03.04</t>
  </si>
  <si>
    <t>Materiales y productos eléctricos, telefónicos y de cómputo</t>
  </si>
  <si>
    <t>2.03.06</t>
  </si>
  <si>
    <t>Materiales y productos de plástico</t>
  </si>
  <si>
    <t>Herramientas, repuestos y accesorios</t>
  </si>
  <si>
    <t>2.04.01</t>
  </si>
  <si>
    <t>Herramientas e instrumentos</t>
  </si>
  <si>
    <t>2.04.02</t>
  </si>
  <si>
    <t>Repuestos y accesorios</t>
  </si>
  <si>
    <t>Utiles, materiales y suministros diversos</t>
  </si>
  <si>
    <t>Utiles y materiales de oficina y cómputo</t>
  </si>
  <si>
    <t>2.99.01</t>
  </si>
  <si>
    <t>2.99.02</t>
  </si>
  <si>
    <t>2.99.03</t>
  </si>
  <si>
    <t>Productos de papel, cartón e impresos</t>
  </si>
  <si>
    <t>2.99.04</t>
  </si>
  <si>
    <t>Textiles y vestuario</t>
  </si>
  <si>
    <t>2.99.05</t>
  </si>
  <si>
    <t>2.99.07</t>
  </si>
  <si>
    <t>2.99.99</t>
  </si>
  <si>
    <t>Otros útiles y materiales específicos</t>
  </si>
  <si>
    <t>Utiles y materiales de cocina y comedor</t>
  </si>
  <si>
    <t>BIENES DURADEROS</t>
  </si>
  <si>
    <t>5.01.03</t>
  </si>
  <si>
    <t>Equipo de comunicación</t>
  </si>
  <si>
    <t>5.01.04</t>
  </si>
  <si>
    <t>Equipo y mobiliario de oficina</t>
  </si>
  <si>
    <t>5.01.99</t>
  </si>
  <si>
    <t>Maquinaria y equipo diverso</t>
  </si>
  <si>
    <t>6.01.03</t>
  </si>
  <si>
    <t>Transferencias corrientes al Sector Público</t>
  </si>
  <si>
    <t>Transferencias corrientes a Instituc. Descent. no Empres.</t>
  </si>
  <si>
    <t>Transferencias corrientes a personas</t>
  </si>
  <si>
    <t>6.02.01</t>
  </si>
  <si>
    <t>Prestaciones</t>
  </si>
  <si>
    <t>6.03.01</t>
  </si>
  <si>
    <t>6.07</t>
  </si>
  <si>
    <t>Transf. corrientes al sector externo</t>
  </si>
  <si>
    <t>TRANSFERENCIAS DE CAPITAL</t>
  </si>
  <si>
    <t>6.03</t>
  </si>
  <si>
    <t>6.02</t>
  </si>
  <si>
    <t>6.01</t>
  </si>
  <si>
    <t>1.01</t>
  </si>
  <si>
    <t>1.02</t>
  </si>
  <si>
    <t>1.03</t>
  </si>
  <si>
    <t>1.05</t>
  </si>
  <si>
    <t>Impresión, encuadernación y otros</t>
  </si>
  <si>
    <t>1.06</t>
  </si>
  <si>
    <t>1.08</t>
  </si>
  <si>
    <t>1.99</t>
  </si>
  <si>
    <t>2.01</t>
  </si>
  <si>
    <t>2.02</t>
  </si>
  <si>
    <t>2.03</t>
  </si>
  <si>
    <t>2.04</t>
  </si>
  <si>
    <t>2.99</t>
  </si>
  <si>
    <t>1.03.04</t>
  </si>
  <si>
    <t>Transporte de bienes</t>
  </si>
  <si>
    <t>Servicios de Gestión y Apoyo</t>
  </si>
  <si>
    <t>1.04.06</t>
  </si>
  <si>
    <t>Servicios generales</t>
  </si>
  <si>
    <t>1.04.99</t>
  </si>
  <si>
    <t>Otros servicios de gestión y apoyo</t>
  </si>
  <si>
    <t>0.05.05</t>
  </si>
  <si>
    <t>1.01.02</t>
  </si>
  <si>
    <t>Alquiler de maquinaria, equipo y mobiliario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</si>
  <si>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</si>
  <si>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</si>
  <si>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</si>
  <si>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</si>
  <si>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</si>
  <si>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</si>
  <si>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1.06.01</t>
  </si>
  <si>
    <t>1.08.03</t>
  </si>
  <si>
    <t>2.99.06</t>
  </si>
  <si>
    <t>Utiles y materiales de resguardo y seguridad</t>
  </si>
  <si>
    <t>Servicios Públicos</t>
  </si>
  <si>
    <t>1.03.01</t>
  </si>
  <si>
    <t>Información</t>
  </si>
  <si>
    <t>6.06</t>
  </si>
  <si>
    <t>Otras transferencias corrientes al Sector Privado</t>
  </si>
  <si>
    <t>6.06.01</t>
  </si>
  <si>
    <t>Indemnizaciones</t>
  </si>
  <si>
    <t>6.03.99</t>
  </si>
  <si>
    <t>1.04.05</t>
  </si>
  <si>
    <t>Servicios de desarrollo de sistemas informáticos</t>
  </si>
  <si>
    <t>6.01.02</t>
  </si>
  <si>
    <t>Transferencias corrientes a Organos Desconcentrados</t>
  </si>
  <si>
    <t>0.02.02</t>
  </si>
  <si>
    <t>6.07.01.335</t>
  </si>
  <si>
    <t>Organización de las Naciones Unidas para la Agricultura y Alimentación (FAO)</t>
  </si>
  <si>
    <t>6.07.01.400</t>
  </si>
  <si>
    <t>Centro Agronómico Tropical de Investigación y Enseñanza (CATIE)</t>
  </si>
  <si>
    <t>6.07.01.420</t>
  </si>
  <si>
    <t>6.07.01.478</t>
  </si>
  <si>
    <t>Instituto Interamericano de Cooperación para la Agricultura (IICA)</t>
  </si>
  <si>
    <t>7.03.02.280</t>
  </si>
  <si>
    <t>FITTACORI</t>
  </si>
  <si>
    <t>Contribución Estatal Seguro de Pensiones</t>
  </si>
  <si>
    <t>Contribución Estatal Seguro de Salud</t>
  </si>
  <si>
    <t>6.01.03.225</t>
  </si>
  <si>
    <t>Instituto Costarricense de Pesca y Acuacultura (INCOPESCA)</t>
  </si>
  <si>
    <t>6.01.03.228</t>
  </si>
  <si>
    <t>Servicio Nacional de Aguas Subterráneas, Riego y Avenamiento (SENARA)</t>
  </si>
  <si>
    <t>Construcciones, adiciones y mejoras</t>
  </si>
  <si>
    <t>1.01.04</t>
  </si>
  <si>
    <t>Alquiler y derechos de telecomunicaciones</t>
  </si>
  <si>
    <t>1.04.03</t>
  </si>
  <si>
    <t>Servicios de ingeniería</t>
  </si>
  <si>
    <t>1.99.01</t>
  </si>
  <si>
    <t>Servicios de regulación</t>
  </si>
  <si>
    <t>1.99.05</t>
  </si>
  <si>
    <t>Deducibles</t>
  </si>
  <si>
    <t>6.01.02.203</t>
  </si>
  <si>
    <t>INTA</t>
  </si>
  <si>
    <t>6.01.02.205</t>
  </si>
  <si>
    <t>6.01.03.200</t>
  </si>
  <si>
    <t>6.01.03.202</t>
  </si>
  <si>
    <t>7.03.01.300</t>
  </si>
  <si>
    <t>Oficina Nacional de Semillas (ONS)</t>
  </si>
  <si>
    <t>7.03.01.310</t>
  </si>
  <si>
    <t>5.01.01</t>
  </si>
  <si>
    <t>Maquinaria y equipo para la producción</t>
  </si>
  <si>
    <t>1.03.06</t>
  </si>
  <si>
    <t>Comisiones y gastos por servicios financieros y comerciales</t>
  </si>
  <si>
    <t>Recargo de funciones</t>
  </si>
  <si>
    <t>Intereses moratorios y multas</t>
  </si>
  <si>
    <t>1.99.02</t>
  </si>
  <si>
    <t>6.01.02.280</t>
  </si>
  <si>
    <t>1.01.03</t>
  </si>
  <si>
    <t>Alquiler de equipo de computo</t>
  </si>
  <si>
    <t>6.01.03.209</t>
  </si>
  <si>
    <t>Mantenimiento de instalaciones y otras obras</t>
  </si>
  <si>
    <t>7.03.01.205</t>
  </si>
  <si>
    <t>Utiles y materiales médicos, hospitalarios e investigación</t>
  </si>
  <si>
    <t>Universidad de Costa Rica - Sede Regional Limón</t>
  </si>
  <si>
    <t>2.02.02</t>
  </si>
  <si>
    <t>Productos agroforestales</t>
  </si>
  <si>
    <t>2.03.03</t>
  </si>
  <si>
    <t>Maderas y sus derivados</t>
  </si>
  <si>
    <t>2.03.05</t>
  </si>
  <si>
    <t>Materiales y productos de vidrio</t>
  </si>
  <si>
    <t>2.03.99</t>
  </si>
  <si>
    <t>Otros materiales y productos de uso en la construcción</t>
  </si>
  <si>
    <t>5.01.02</t>
  </si>
  <si>
    <t>Equipo de transporte</t>
  </si>
  <si>
    <t>5.01.05</t>
  </si>
  <si>
    <t>Equipo y programas de cómputo</t>
  </si>
  <si>
    <t>Consejo Nacional de Clubes 4-S</t>
  </si>
  <si>
    <t>7.02.01.200</t>
  </si>
  <si>
    <t>RBA, cambio climático</t>
  </si>
  <si>
    <t>Maquinaria Equipo y mobiliario</t>
  </si>
  <si>
    <t>5.01.06</t>
  </si>
  <si>
    <t>Equipo sanitario de laboratorio e investigacion</t>
  </si>
  <si>
    <t>5.01.07</t>
  </si>
  <si>
    <t>Equipo y mobiliario educacional</t>
  </si>
  <si>
    <t>5.01</t>
  </si>
  <si>
    <t>6.07.01.479</t>
  </si>
  <si>
    <t>Federación Latinoamericana de Lechería (FEPALE)</t>
  </si>
  <si>
    <t>1.08.04</t>
  </si>
  <si>
    <t>Mantenimiento y reparación de maquinaria equipo prod.</t>
  </si>
  <si>
    <t>5.02</t>
  </si>
  <si>
    <t>1.03.07</t>
  </si>
  <si>
    <t>Federación Reg. Centros Agrícolas Cant. Pacífico Sur</t>
  </si>
  <si>
    <t>Federación Reg. Centros Agrícolas Cant. Huétar Atlántica</t>
  </si>
  <si>
    <t>1.04</t>
  </si>
  <si>
    <t>Consejo Agropecuario Centroamericano (CAC)</t>
  </si>
  <si>
    <t>5.02.01</t>
  </si>
  <si>
    <t>Edificios</t>
  </si>
  <si>
    <t xml:space="preserve">Programa de inversión y desarrollo tecnológico y el Programa para la competitividad del mediano y pequeño productor. </t>
  </si>
  <si>
    <t>Contribución patronal fondos administrados entes privados</t>
  </si>
  <si>
    <t>Otras prestaciones a terceras personas</t>
  </si>
  <si>
    <t>Servicios de transferencia electrónica información</t>
  </si>
  <si>
    <t xml:space="preserve">Becas a funcionarios                                   </t>
  </si>
  <si>
    <t>Servicio Nacional de Salud Animal (SENASA)</t>
  </si>
  <si>
    <t>FITTACORI KOLFACI</t>
  </si>
  <si>
    <t>6.04</t>
  </si>
  <si>
    <t>6.04.02</t>
  </si>
  <si>
    <t>7.03.02.240</t>
  </si>
  <si>
    <t>Transferencias corrientes a Entidades privadas sin fines de lucro</t>
  </si>
  <si>
    <t>6.01.05</t>
  </si>
  <si>
    <t>Transferencias corrientes a empresas públicas no financieras</t>
  </si>
  <si>
    <t>6.01.05.270</t>
  </si>
  <si>
    <t>Consejo Nacional de Producción (CNP)</t>
  </si>
  <si>
    <t>6.01.03.203</t>
  </si>
  <si>
    <t>Programa Integral de Mercadeo Agropecuario (PIMA)</t>
  </si>
  <si>
    <t>ANTEPROYECTO DE PRESUPUESTO ORDINARIO 2017</t>
  </si>
  <si>
    <t>1.99.99</t>
  </si>
  <si>
    <t>Otros servicios no especificados</t>
  </si>
  <si>
    <t>EXTRALIMITE</t>
  </si>
  <si>
    <t>2.02.04</t>
  </si>
  <si>
    <t>Alimento para animales</t>
  </si>
  <si>
    <t>Corporación Ganadera (CORFOGA)</t>
  </si>
  <si>
    <t>Servicio Fitosanitario del Estado</t>
  </si>
  <si>
    <t>destinos</t>
  </si>
  <si>
    <t>6.01.03.206</t>
  </si>
  <si>
    <t>D.F.C./05 SETIEMBRE 2016</t>
  </si>
  <si>
    <t>0.01.03</t>
  </si>
  <si>
    <t>Servicios especiales</t>
  </si>
  <si>
    <t>6.01.02.208</t>
  </si>
  <si>
    <t>7.01.02.200</t>
  </si>
  <si>
    <t>6.01.03.303</t>
  </si>
</sst>
</file>

<file path=xl/styles.xml><?xml version="1.0" encoding="utf-8"?>
<styleSheet xmlns="http://schemas.openxmlformats.org/spreadsheetml/2006/main">
  <numFmts count="4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₡&quot;\ #,##0_);\(&quot;₡&quot;\ #,##0\)"/>
    <numFmt numFmtId="185" formatCode="&quot;₡&quot;\ #,##0_);[Red]\(&quot;₡&quot;\ #,##0\)"/>
    <numFmt numFmtId="186" formatCode="&quot;₡&quot;\ #,##0.00_);\(&quot;₡&quot;\ #,##0.00\)"/>
    <numFmt numFmtId="187" formatCode="&quot;₡&quot;\ #,##0.00_);[Red]\(&quot;₡&quot;\ #,##0.00\)"/>
    <numFmt numFmtId="188" formatCode="_(&quot;₡&quot;\ * #,##0_);_(&quot;₡&quot;\ * \(#,##0\);_(&quot;₡&quot;\ * &quot;-&quot;_);_(@_)"/>
    <numFmt numFmtId="189" formatCode="_(&quot;₡&quot;\ * #,##0.00_);_(&quot;₡&quot;\ * \(#,##0.00\);_(&quot;₡&quot;\ 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8">
    <font>
      <sz val="10"/>
      <name val="Times New Roman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4"/>
      <color indexed="34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4"/>
      <color rgb="FFFFFF00"/>
      <name val="Times New Roman"/>
      <family val="1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3" fontId="5" fillId="0" borderId="0" xfId="0" applyNumberFormat="1" applyFont="1" applyAlignment="1">
      <alignment/>
    </xf>
    <xf numFmtId="43" fontId="6" fillId="0" borderId="10" xfId="49" applyNumberFormat="1" applyFont="1" applyFill="1" applyBorder="1" applyAlignment="1">
      <alignment/>
    </xf>
    <xf numFmtId="4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0" fillId="0" borderId="0" xfId="0" applyFill="1" applyAlignment="1">
      <alignment/>
    </xf>
    <xf numFmtId="43" fontId="2" fillId="0" borderId="0" xfId="49" applyNumberFormat="1" applyFont="1" applyAlignment="1">
      <alignment/>
    </xf>
    <xf numFmtId="43" fontId="4" fillId="0" borderId="0" xfId="49" applyNumberFormat="1" applyFont="1" applyAlignment="1">
      <alignment/>
    </xf>
    <xf numFmtId="43" fontId="2" fillId="0" borderId="0" xfId="0" applyNumberFormat="1" applyFont="1" applyAlignment="1">
      <alignment/>
    </xf>
    <xf numFmtId="43" fontId="7" fillId="0" borderId="10" xfId="49" applyNumberFormat="1" applyFont="1" applyFill="1" applyBorder="1" applyAlignment="1">
      <alignment/>
    </xf>
    <xf numFmtId="43" fontId="3" fillId="0" borderId="10" xfId="49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/>
    </xf>
    <xf numFmtId="43" fontId="0" fillId="0" borderId="10" xfId="49" applyNumberFormat="1" applyFont="1" applyFill="1" applyBorder="1" applyAlignment="1">
      <alignment/>
    </xf>
    <xf numFmtId="43" fontId="7" fillId="0" borderId="0" xfId="49" applyNumberFormat="1" applyFont="1" applyFill="1" applyBorder="1" applyAlignment="1">
      <alignment/>
    </xf>
    <xf numFmtId="43" fontId="0" fillId="0" borderId="0" xfId="49" applyNumberFormat="1" applyFont="1" applyAlignment="1">
      <alignment/>
    </xf>
    <xf numFmtId="43" fontId="3" fillId="0" borderId="0" xfId="49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55" fillId="0" borderId="0" xfId="49" applyNumberFormat="1" applyFont="1" applyAlignment="1">
      <alignment/>
    </xf>
    <xf numFmtId="43" fontId="0" fillId="0" borderId="0" xfId="49" applyNumberFormat="1" applyFont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3" fontId="3" fillId="0" borderId="11" xfId="49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3" fontId="7" fillId="0" borderId="0" xfId="0" applyNumberFormat="1" applyFont="1" applyFill="1" applyAlignment="1">
      <alignment/>
    </xf>
    <xf numFmtId="43" fontId="56" fillId="0" borderId="0" xfId="49" applyNumberFormat="1" applyFont="1" applyFill="1" applyAlignment="1">
      <alignment horizontal="center"/>
    </xf>
    <xf numFmtId="43" fontId="9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43" fontId="8" fillId="0" borderId="10" xfId="49" applyNumberFormat="1" applyFont="1" applyFill="1" applyBorder="1" applyAlignment="1">
      <alignment/>
    </xf>
    <xf numFmtId="43" fontId="7" fillId="0" borderId="0" xfId="49" applyNumberFormat="1" applyFont="1" applyFill="1" applyAlignment="1">
      <alignment/>
    </xf>
    <xf numFmtId="0" fontId="7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5" fillId="18" borderId="13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10" xfId="0" applyFont="1" applyFill="1" applyBorder="1" applyAlignment="1">
      <alignment horizontal="left" vertical="top"/>
    </xf>
    <xf numFmtId="43" fontId="7" fillId="0" borderId="10" xfId="49" applyNumberFormat="1" applyFont="1" applyFill="1" applyBorder="1" applyAlignment="1">
      <alignment vertical="top"/>
    </xf>
    <xf numFmtId="43" fontId="7" fillId="0" borderId="10" xfId="0" applyNumberFormat="1" applyFont="1" applyFill="1" applyBorder="1" applyAlignment="1">
      <alignment vertical="top"/>
    </xf>
    <xf numFmtId="43" fontId="57" fillId="0" borderId="0" xfId="49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4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3" fontId="0" fillId="33" borderId="0" xfId="49" applyFont="1" applyFill="1" applyAlignment="1">
      <alignment/>
    </xf>
    <xf numFmtId="43" fontId="7" fillId="0" borderId="0" xfId="49" applyFont="1" applyFill="1" applyAlignment="1">
      <alignment/>
    </xf>
    <xf numFmtId="43" fontId="14" fillId="0" borderId="0" xfId="49" applyFont="1" applyAlignment="1">
      <alignment/>
    </xf>
    <xf numFmtId="43" fontId="7" fillId="0" borderId="0" xfId="49" applyFont="1" applyAlignment="1">
      <alignment/>
    </xf>
    <xf numFmtId="43" fontId="13" fillId="0" borderId="0" xfId="49" applyFont="1" applyAlignment="1">
      <alignment/>
    </xf>
    <xf numFmtId="43" fontId="0" fillId="0" borderId="0" xfId="49" applyFont="1" applyFill="1" applyAlignment="1">
      <alignment/>
    </xf>
    <xf numFmtId="43" fontId="0" fillId="0" borderId="0" xfId="49" applyNumberFormat="1" applyFont="1" applyBorder="1" applyAlignment="1">
      <alignment/>
    </xf>
    <xf numFmtId="43" fontId="4" fillId="18" borderId="13" xfId="49" applyNumberFormat="1" applyFont="1" applyFill="1" applyBorder="1" applyAlignment="1">
      <alignment horizontal="center" vertical="center"/>
    </xf>
    <xf numFmtId="43" fontId="4" fillId="18" borderId="11" xfId="49" applyNumberFormat="1" applyFont="1" applyFill="1" applyBorder="1" applyAlignment="1">
      <alignment horizontal="center" vertical="center"/>
    </xf>
    <xf numFmtId="49" fontId="4" fillId="18" borderId="13" xfId="49" applyNumberFormat="1" applyFont="1" applyFill="1" applyBorder="1" applyAlignment="1">
      <alignment horizontal="center" vertical="center"/>
    </xf>
    <xf numFmtId="49" fontId="4" fillId="18" borderId="11" xfId="49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4" fillId="18" borderId="10" xfId="49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="125" zoomScaleNormal="125" zoomScalePageLayoutView="0" workbookViewId="0" topLeftCell="A155">
      <selection activeCell="C45" sqref="C45"/>
    </sheetView>
  </sheetViews>
  <sheetFormatPr defaultColWidth="12" defaultRowHeight="12.75"/>
  <cols>
    <col min="1" max="1" width="13.33203125" style="0" customWidth="1"/>
    <col min="2" max="2" width="65.83203125" style="0" customWidth="1"/>
    <col min="3" max="3" width="26" style="36" customWidth="1"/>
    <col min="4" max="4" width="23.66015625" style="36" customWidth="1"/>
    <col min="5" max="5" width="24.33203125" style="10" customWidth="1"/>
    <col min="6" max="6" width="21.33203125" style="10" customWidth="1"/>
    <col min="7" max="7" width="25" style="10" customWidth="1"/>
    <col min="8" max="8" width="24.66015625" style="0" hidden="1" customWidth="1"/>
    <col min="10" max="10" width="18.5" style="66" bestFit="1" customWidth="1"/>
  </cols>
  <sheetData>
    <row r="1" spans="1:10" s="1" customFormat="1" ht="20.25">
      <c r="A1" s="79" t="s">
        <v>10</v>
      </c>
      <c r="B1" s="79"/>
      <c r="C1" s="79"/>
      <c r="D1" s="24"/>
      <c r="E1" s="25"/>
      <c r="F1" s="78"/>
      <c r="G1" s="78"/>
      <c r="J1" s="69"/>
    </row>
    <row r="2" spans="1:10" s="1" customFormat="1" ht="20.25">
      <c r="A2" s="79" t="s">
        <v>287</v>
      </c>
      <c r="B2" s="79"/>
      <c r="C2" s="79"/>
      <c r="D2" s="24"/>
      <c r="E2" s="16"/>
      <c r="F2" s="26"/>
      <c r="G2" s="26"/>
      <c r="J2" s="69"/>
    </row>
    <row r="3" spans="3:10" s="1" customFormat="1" ht="20.25">
      <c r="C3" s="24"/>
      <c r="D3" s="24"/>
      <c r="E3" s="16"/>
      <c r="F3" s="26"/>
      <c r="G3" s="45"/>
      <c r="J3" s="69"/>
    </row>
    <row r="4" spans="3:10" s="2" customFormat="1" ht="20.25">
      <c r="C4" s="24"/>
      <c r="D4" s="24"/>
      <c r="E4" s="24"/>
      <c r="F4" s="22"/>
      <c r="G4" s="22"/>
      <c r="J4" s="70"/>
    </row>
    <row r="5" spans="1:10" s="11" customFormat="1" ht="12.75" customHeight="1">
      <c r="A5" s="52"/>
      <c r="B5" s="52"/>
      <c r="C5" s="76">
        <v>169</v>
      </c>
      <c r="D5" s="76">
        <v>170</v>
      </c>
      <c r="E5" s="76">
        <v>175</v>
      </c>
      <c r="F5" s="76">
        <v>185</v>
      </c>
      <c r="G5" s="74" t="s">
        <v>9</v>
      </c>
      <c r="H5" s="74" t="s">
        <v>290</v>
      </c>
      <c r="J5" s="71"/>
    </row>
    <row r="6" spans="1:10" s="3" customFormat="1" ht="12.75">
      <c r="A6" s="53" t="s">
        <v>0</v>
      </c>
      <c r="B6" s="54"/>
      <c r="C6" s="77"/>
      <c r="D6" s="77"/>
      <c r="E6" s="77"/>
      <c r="F6" s="77"/>
      <c r="G6" s="75"/>
      <c r="H6" s="75"/>
      <c r="J6" s="66"/>
    </row>
    <row r="7" spans="1:10" s="9" customFormat="1" ht="15.75">
      <c r="A7" s="37">
        <v>0</v>
      </c>
      <c r="B7" s="38" t="s">
        <v>12</v>
      </c>
      <c r="C7" s="39">
        <f>SUM(C8,C11,C14,C20,C23,)</f>
        <v>7558660823</v>
      </c>
      <c r="D7" s="39">
        <f>SUM(D8,D11,D14,D20,D23,)</f>
        <v>998698510</v>
      </c>
      <c r="E7" s="39">
        <f>SUM(E8,E11,E14,E20,E23,)</f>
        <v>11003876140</v>
      </c>
      <c r="F7" s="39">
        <f>SUM(F8,F11,F14,F20,F23)</f>
        <v>0</v>
      </c>
      <c r="G7" s="18">
        <f aca="true" t="shared" si="0" ref="G7:G40">SUM(C7:F7)</f>
        <v>19561235473</v>
      </c>
      <c r="H7" s="28">
        <f>SUM(H8,H11,H14,H20,H23)</f>
        <v>0</v>
      </c>
      <c r="J7" s="68"/>
    </row>
    <row r="8" spans="1:10" s="5" customFormat="1" ht="15.75">
      <c r="A8" s="40" t="s">
        <v>42</v>
      </c>
      <c r="B8" s="5" t="s">
        <v>15</v>
      </c>
      <c r="C8" s="17">
        <f>SUM(C9:C10)</f>
        <v>2627805701</v>
      </c>
      <c r="D8" s="17">
        <f>SUM(D9)</f>
        <v>339104941</v>
      </c>
      <c r="E8" s="17">
        <f>SUM(E9)</f>
        <v>3749515560</v>
      </c>
      <c r="F8" s="17">
        <f>SUM(F9)</f>
        <v>0</v>
      </c>
      <c r="G8" s="18">
        <f t="shared" si="0"/>
        <v>6716426202</v>
      </c>
      <c r="H8" s="17">
        <f>SUM(H9)</f>
        <v>0</v>
      </c>
      <c r="J8" s="68"/>
    </row>
    <row r="9" spans="1:10" s="42" customFormat="1" ht="15.75">
      <c r="A9" s="41" t="s">
        <v>43</v>
      </c>
      <c r="B9" s="4" t="s">
        <v>1</v>
      </c>
      <c r="C9" s="27">
        <v>2503530044</v>
      </c>
      <c r="D9" s="27">
        <v>339104941</v>
      </c>
      <c r="E9" s="27">
        <v>3749515560</v>
      </c>
      <c r="F9" s="13"/>
      <c r="G9" s="13">
        <f t="shared" si="0"/>
        <v>6592150545</v>
      </c>
      <c r="H9" s="27"/>
      <c r="J9" s="68"/>
    </row>
    <row r="10" spans="1:10" s="42" customFormat="1" ht="15.75">
      <c r="A10" s="41" t="s">
        <v>298</v>
      </c>
      <c r="B10" s="4" t="s">
        <v>299</v>
      </c>
      <c r="C10" s="27">
        <v>124275657</v>
      </c>
      <c r="D10" s="27"/>
      <c r="E10" s="27"/>
      <c r="F10" s="13"/>
      <c r="G10" s="13">
        <f t="shared" si="0"/>
        <v>124275657</v>
      </c>
      <c r="H10" s="27"/>
      <c r="J10" s="68"/>
    </row>
    <row r="11" spans="1:10" s="5" customFormat="1" ht="15.75">
      <c r="A11" s="40" t="s">
        <v>44</v>
      </c>
      <c r="B11" s="6" t="s">
        <v>13</v>
      </c>
      <c r="C11" s="17">
        <f>SUM(C12:C13)</f>
        <v>18150000</v>
      </c>
      <c r="D11" s="17">
        <f>SUM(D12:D13)</f>
        <v>0</v>
      </c>
      <c r="E11" s="17">
        <f>SUM(E12:E13)</f>
        <v>4000000</v>
      </c>
      <c r="F11" s="17">
        <f>SUM(F12:F13)</f>
        <v>0</v>
      </c>
      <c r="G11" s="29">
        <f t="shared" si="0"/>
        <v>22150000</v>
      </c>
      <c r="H11" s="17">
        <f>SUM(H12:H13)</f>
        <v>0</v>
      </c>
      <c r="J11" s="68"/>
    </row>
    <row r="12" spans="1:10" s="42" customFormat="1" ht="15.75">
      <c r="A12" s="41" t="s">
        <v>45</v>
      </c>
      <c r="B12" s="4" t="s">
        <v>16</v>
      </c>
      <c r="C12" s="27">
        <v>16150000</v>
      </c>
      <c r="D12" s="27">
        <v>0</v>
      </c>
      <c r="E12" s="27">
        <v>2000000</v>
      </c>
      <c r="F12" s="13"/>
      <c r="G12" s="13">
        <f t="shared" si="0"/>
        <v>18150000</v>
      </c>
      <c r="H12" s="27"/>
      <c r="J12" s="68"/>
    </row>
    <row r="13" spans="1:10" s="42" customFormat="1" ht="15.75">
      <c r="A13" s="41" t="s">
        <v>189</v>
      </c>
      <c r="B13" s="4" t="s">
        <v>226</v>
      </c>
      <c r="C13" s="27">
        <v>2000000</v>
      </c>
      <c r="D13" s="27"/>
      <c r="E13" s="27">
        <v>2000000</v>
      </c>
      <c r="F13" s="13"/>
      <c r="G13" s="13">
        <f t="shared" si="0"/>
        <v>4000000</v>
      </c>
      <c r="H13" s="27"/>
      <c r="J13" s="68"/>
    </row>
    <row r="14" spans="1:10" s="5" customFormat="1" ht="15.75">
      <c r="A14" s="40" t="s">
        <v>46</v>
      </c>
      <c r="B14" s="6" t="s">
        <v>14</v>
      </c>
      <c r="C14" s="17">
        <f>SUM(C15:C19)</f>
        <v>3550194549</v>
      </c>
      <c r="D14" s="17">
        <f>SUM(D15:D19)</f>
        <v>478972541</v>
      </c>
      <c r="E14" s="17">
        <f>SUM(E15:E19)</f>
        <v>5365796731</v>
      </c>
      <c r="F14" s="17">
        <f>SUM(F15:F19)</f>
        <v>0</v>
      </c>
      <c r="G14" s="18">
        <f t="shared" si="0"/>
        <v>9394963821</v>
      </c>
      <c r="H14" s="17">
        <f>SUM(H15:H19)</f>
        <v>0</v>
      </c>
      <c r="J14" s="68"/>
    </row>
    <row r="15" spans="1:10" s="42" customFormat="1" ht="15.75">
      <c r="A15" s="41" t="s">
        <v>47</v>
      </c>
      <c r="B15" s="4" t="s">
        <v>17</v>
      </c>
      <c r="C15" s="27">
        <v>1177674711</v>
      </c>
      <c r="D15" s="27">
        <v>145758583</v>
      </c>
      <c r="E15" s="27">
        <v>1839576583</v>
      </c>
      <c r="F15" s="13"/>
      <c r="G15" s="13">
        <f t="shared" si="0"/>
        <v>3163009877</v>
      </c>
      <c r="H15" s="27"/>
      <c r="J15" s="68"/>
    </row>
    <row r="16" spans="1:10" s="42" customFormat="1" ht="15.75">
      <c r="A16" s="41" t="s">
        <v>48</v>
      </c>
      <c r="B16" s="4" t="s">
        <v>18</v>
      </c>
      <c r="C16" s="27">
        <v>1091016910</v>
      </c>
      <c r="D16" s="27">
        <v>158591276</v>
      </c>
      <c r="E16" s="27">
        <v>1508372501</v>
      </c>
      <c r="F16" s="13"/>
      <c r="G16" s="13">
        <f t="shared" si="0"/>
        <v>2757980687</v>
      </c>
      <c r="H16" s="27"/>
      <c r="J16" s="68"/>
    </row>
    <row r="17" spans="1:10" s="42" customFormat="1" ht="15.75">
      <c r="A17" s="41" t="s">
        <v>49</v>
      </c>
      <c r="B17" s="4" t="s">
        <v>19</v>
      </c>
      <c r="C17" s="27">
        <v>476475977</v>
      </c>
      <c r="D17" s="27">
        <v>62905801</v>
      </c>
      <c r="E17" s="27">
        <v>701226543</v>
      </c>
      <c r="F17" s="13"/>
      <c r="G17" s="13">
        <f t="shared" si="0"/>
        <v>1240608321</v>
      </c>
      <c r="H17" s="27"/>
      <c r="J17" s="68"/>
    </row>
    <row r="18" spans="1:10" s="42" customFormat="1" ht="15.75">
      <c r="A18" s="41" t="s">
        <v>50</v>
      </c>
      <c r="B18" s="4" t="s">
        <v>2</v>
      </c>
      <c r="C18" s="27">
        <v>383294273</v>
      </c>
      <c r="D18" s="27">
        <v>50787681</v>
      </c>
      <c r="E18" s="27">
        <v>602953748</v>
      </c>
      <c r="F18" s="13"/>
      <c r="G18" s="13">
        <f t="shared" si="0"/>
        <v>1037035702</v>
      </c>
      <c r="H18" s="27"/>
      <c r="J18" s="68"/>
    </row>
    <row r="19" spans="1:10" s="42" customFormat="1" ht="15.75">
      <c r="A19" s="41" t="s">
        <v>51</v>
      </c>
      <c r="B19" s="4" t="s">
        <v>20</v>
      </c>
      <c r="C19" s="27">
        <v>421732678</v>
      </c>
      <c r="D19" s="27">
        <v>60929200</v>
      </c>
      <c r="E19" s="27">
        <v>713667356</v>
      </c>
      <c r="F19" s="13"/>
      <c r="G19" s="13">
        <f t="shared" si="0"/>
        <v>1196329234</v>
      </c>
      <c r="H19" s="27"/>
      <c r="J19" s="68"/>
    </row>
    <row r="20" spans="1:10" s="5" customFormat="1" ht="15.75">
      <c r="A20" s="40" t="s">
        <v>52</v>
      </c>
      <c r="B20" s="6" t="s">
        <v>82</v>
      </c>
      <c r="C20" s="17">
        <f>SUM(C21:C22)</f>
        <v>557668241</v>
      </c>
      <c r="D20" s="17">
        <f>SUM(D21:D22)</f>
        <v>73629238</v>
      </c>
      <c r="E20" s="17">
        <f>SUM(E21:E22)</f>
        <v>820763361</v>
      </c>
      <c r="F20" s="17">
        <f>SUM(F21:F22)</f>
        <v>0</v>
      </c>
      <c r="G20" s="18">
        <f t="shared" si="0"/>
        <v>1452060840</v>
      </c>
      <c r="H20" s="17">
        <f>SUM(H21:H22)</f>
        <v>0</v>
      </c>
      <c r="J20" s="68"/>
    </row>
    <row r="21" spans="1:10" s="42" customFormat="1" ht="15.75">
      <c r="A21" s="41" t="s">
        <v>53</v>
      </c>
      <c r="B21" s="4" t="s">
        <v>21</v>
      </c>
      <c r="C21" s="27">
        <v>529069870</v>
      </c>
      <c r="D21" s="27">
        <v>69853380</v>
      </c>
      <c r="E21" s="27">
        <v>778672932</v>
      </c>
      <c r="F21" s="13"/>
      <c r="G21" s="13">
        <f t="shared" si="0"/>
        <v>1377596182</v>
      </c>
      <c r="H21" s="27"/>
      <c r="J21" s="68"/>
    </row>
    <row r="22" spans="1:10" s="42" customFormat="1" ht="15.75">
      <c r="A22" s="41" t="s">
        <v>54</v>
      </c>
      <c r="B22" s="4" t="s">
        <v>22</v>
      </c>
      <c r="C22" s="27">
        <v>28598371</v>
      </c>
      <c r="D22" s="27">
        <v>3775858</v>
      </c>
      <c r="E22" s="27">
        <v>42090429</v>
      </c>
      <c r="F22" s="13"/>
      <c r="G22" s="13">
        <f t="shared" si="0"/>
        <v>74464658</v>
      </c>
      <c r="H22" s="27"/>
      <c r="J22" s="68"/>
    </row>
    <row r="23" spans="1:10" s="5" customFormat="1" ht="15.75">
      <c r="A23" s="40" t="s">
        <v>55</v>
      </c>
      <c r="B23" s="6" t="s">
        <v>23</v>
      </c>
      <c r="C23" s="17">
        <f>SUM(C24:C27)</f>
        <v>804842332</v>
      </c>
      <c r="D23" s="17">
        <f>SUM(D24:D27)</f>
        <v>106991790</v>
      </c>
      <c r="E23" s="17">
        <f>SUM(E24:E27)</f>
        <v>1063800488</v>
      </c>
      <c r="F23" s="17">
        <f>SUM(F24:F27)</f>
        <v>0</v>
      </c>
      <c r="G23" s="18">
        <f t="shared" si="0"/>
        <v>1975634610</v>
      </c>
      <c r="H23" s="17">
        <f>SUM(H24:H27)</f>
        <v>0</v>
      </c>
      <c r="J23" s="68"/>
    </row>
    <row r="24" spans="1:10" s="42" customFormat="1" ht="15.75">
      <c r="A24" s="41" t="s">
        <v>56</v>
      </c>
      <c r="B24" s="4" t="s">
        <v>24</v>
      </c>
      <c r="C24" s="27">
        <v>290559453</v>
      </c>
      <c r="D24" s="27">
        <v>38362721</v>
      </c>
      <c r="E24" s="27">
        <v>427638756</v>
      </c>
      <c r="F24" s="13"/>
      <c r="G24" s="13">
        <f t="shared" si="0"/>
        <v>756560930</v>
      </c>
      <c r="H24" s="27"/>
      <c r="J24" s="68"/>
    </row>
    <row r="25" spans="1:10" s="42" customFormat="1" ht="15.75">
      <c r="A25" s="41" t="s">
        <v>57</v>
      </c>
      <c r="B25" s="4" t="s">
        <v>25</v>
      </c>
      <c r="C25" s="27">
        <v>85795114</v>
      </c>
      <c r="D25" s="27">
        <v>11327575</v>
      </c>
      <c r="E25" s="27">
        <v>126271286</v>
      </c>
      <c r="F25" s="13"/>
      <c r="G25" s="13">
        <f t="shared" si="0"/>
        <v>223393975</v>
      </c>
      <c r="H25" s="27"/>
      <c r="J25" s="68"/>
    </row>
    <row r="26" spans="1:10" s="42" customFormat="1" ht="15.75">
      <c r="A26" s="41" t="s">
        <v>58</v>
      </c>
      <c r="B26" s="4" t="s">
        <v>26</v>
      </c>
      <c r="C26" s="27">
        <v>171590228</v>
      </c>
      <c r="D26" s="27">
        <v>22655150</v>
      </c>
      <c r="E26" s="27">
        <v>252542572</v>
      </c>
      <c r="F26" s="13"/>
      <c r="G26" s="13">
        <f t="shared" si="0"/>
        <v>446787950</v>
      </c>
      <c r="H26" s="27"/>
      <c r="J26" s="68"/>
    </row>
    <row r="27" spans="1:10" s="42" customFormat="1" ht="15.75">
      <c r="A27" s="41" t="s">
        <v>164</v>
      </c>
      <c r="B27" s="4" t="s">
        <v>271</v>
      </c>
      <c r="C27" s="27">
        <v>256897537</v>
      </c>
      <c r="D27" s="27">
        <v>34646344</v>
      </c>
      <c r="E27" s="27">
        <v>257347874</v>
      </c>
      <c r="F27" s="13"/>
      <c r="G27" s="13">
        <f t="shared" si="0"/>
        <v>548891755</v>
      </c>
      <c r="H27" s="27"/>
      <c r="J27" s="68"/>
    </row>
    <row r="28" spans="1:10" s="42" customFormat="1" ht="15.75">
      <c r="A28" s="41"/>
      <c r="B28" s="4"/>
      <c r="C28" s="27"/>
      <c r="D28" s="27"/>
      <c r="E28" s="27"/>
      <c r="F28" s="13"/>
      <c r="G28" s="13"/>
      <c r="H28" s="27"/>
      <c r="J28" s="68"/>
    </row>
    <row r="29" spans="1:10" s="9" customFormat="1" ht="15.75">
      <c r="A29" s="19">
        <v>1</v>
      </c>
      <c r="B29" s="12" t="s">
        <v>27</v>
      </c>
      <c r="C29" s="28">
        <f>SUM(C30,C35,C41,C48,C53,C58,C60,C63,C72)</f>
        <v>966196264</v>
      </c>
      <c r="D29" s="28">
        <f>SUM(D30,D35,D41,D48,D53,D58,D60,D63,D72)</f>
        <v>12739489</v>
      </c>
      <c r="E29" s="28">
        <f>SUM(E30,E35,E41,E48,E53,E58,E60,E63,E72)</f>
        <v>1191598467</v>
      </c>
      <c r="F29" s="28">
        <f>SUM(F30,F35,F41,F48,F53,F58,F60,F63,F72)</f>
        <v>105300000</v>
      </c>
      <c r="G29" s="18">
        <f t="shared" si="0"/>
        <v>2275834220</v>
      </c>
      <c r="H29" s="28">
        <f>SUM(H30,H35,H41,H48,H53,H58,H60,H63,H72)</f>
        <v>93000000</v>
      </c>
      <c r="J29" s="68"/>
    </row>
    <row r="30" spans="1:10" s="5" customFormat="1" ht="15.75">
      <c r="A30" s="8" t="s">
        <v>144</v>
      </c>
      <c r="B30" s="6" t="s">
        <v>84</v>
      </c>
      <c r="C30" s="17">
        <f>SUM(C31:C34)</f>
        <v>49391758</v>
      </c>
      <c r="D30" s="17">
        <f>SUM(D31:D34)</f>
        <v>0</v>
      </c>
      <c r="E30" s="17">
        <f>SUM(E31:E34)</f>
        <v>0</v>
      </c>
      <c r="F30" s="17">
        <f>SUM(F31:F34)</f>
        <v>0</v>
      </c>
      <c r="G30" s="29">
        <f t="shared" si="0"/>
        <v>49391758</v>
      </c>
      <c r="H30" s="17">
        <f>SUM(H31:H34)</f>
        <v>0</v>
      </c>
      <c r="J30" s="68"/>
    </row>
    <row r="31" spans="1:10" s="42" customFormat="1" ht="15.75" hidden="1">
      <c r="A31" s="7" t="s">
        <v>83</v>
      </c>
      <c r="B31" s="4" t="s">
        <v>28</v>
      </c>
      <c r="C31" s="27"/>
      <c r="D31" s="27"/>
      <c r="E31" s="43"/>
      <c r="F31" s="13"/>
      <c r="G31" s="13">
        <f t="shared" si="0"/>
        <v>0</v>
      </c>
      <c r="H31" s="13"/>
      <c r="J31" s="68"/>
    </row>
    <row r="32" spans="1:10" s="42" customFormat="1" ht="15.75">
      <c r="A32" s="7" t="s">
        <v>165</v>
      </c>
      <c r="B32" s="4" t="s">
        <v>166</v>
      </c>
      <c r="C32" s="27">
        <v>35291758</v>
      </c>
      <c r="D32" s="27"/>
      <c r="E32" s="27"/>
      <c r="F32" s="13"/>
      <c r="G32" s="13">
        <f t="shared" si="0"/>
        <v>35291758</v>
      </c>
      <c r="H32" s="27"/>
      <c r="J32" s="68"/>
    </row>
    <row r="33" spans="1:10" s="42" customFormat="1" ht="15.75">
      <c r="A33" s="7" t="s">
        <v>230</v>
      </c>
      <c r="B33" s="4" t="s">
        <v>231</v>
      </c>
      <c r="C33" s="27">
        <v>14000000</v>
      </c>
      <c r="D33" s="27"/>
      <c r="E33" s="43"/>
      <c r="F33" s="13"/>
      <c r="G33" s="13">
        <f t="shared" si="0"/>
        <v>14000000</v>
      </c>
      <c r="H33" s="13"/>
      <c r="J33" s="68"/>
    </row>
    <row r="34" spans="1:10" s="42" customFormat="1" ht="15.75">
      <c r="A34" s="7" t="s">
        <v>206</v>
      </c>
      <c r="B34" s="4" t="s">
        <v>207</v>
      </c>
      <c r="C34" s="27">
        <v>100000</v>
      </c>
      <c r="D34" s="27"/>
      <c r="E34" s="27"/>
      <c r="F34" s="13"/>
      <c r="G34" s="13">
        <f t="shared" si="0"/>
        <v>100000</v>
      </c>
      <c r="H34" s="27"/>
      <c r="J34" s="68"/>
    </row>
    <row r="35" spans="1:10" s="5" customFormat="1" ht="15.75">
      <c r="A35" s="8" t="s">
        <v>145</v>
      </c>
      <c r="B35" s="6" t="s">
        <v>177</v>
      </c>
      <c r="C35" s="17">
        <f>SUM(C36:C40)</f>
        <v>379000000</v>
      </c>
      <c r="D35" s="17">
        <f>SUM(D36:D40)</f>
        <v>0</v>
      </c>
      <c r="E35" s="17">
        <f>SUM(E36:E40)</f>
        <v>0</v>
      </c>
      <c r="F35" s="17">
        <f>SUM(F36:F40)</f>
        <v>0</v>
      </c>
      <c r="G35" s="29">
        <f t="shared" si="0"/>
        <v>379000000</v>
      </c>
      <c r="H35" s="17">
        <f>SUM(H36:H40)</f>
        <v>0</v>
      </c>
      <c r="J35" s="68"/>
    </row>
    <row r="36" spans="1:10" s="42" customFormat="1" ht="15.75">
      <c r="A36" s="7" t="s">
        <v>59</v>
      </c>
      <c r="B36" s="4" t="s">
        <v>29</v>
      </c>
      <c r="C36" s="27">
        <v>100000000</v>
      </c>
      <c r="D36" s="27"/>
      <c r="E36" s="27"/>
      <c r="F36" s="13"/>
      <c r="G36" s="13">
        <f t="shared" si="0"/>
        <v>100000000</v>
      </c>
      <c r="H36" s="27"/>
      <c r="J36" s="68"/>
    </row>
    <row r="37" spans="1:10" s="42" customFormat="1" ht="15.75">
      <c r="A37" s="7" t="s">
        <v>60</v>
      </c>
      <c r="B37" s="4" t="s">
        <v>30</v>
      </c>
      <c r="C37" s="27">
        <v>160000000</v>
      </c>
      <c r="D37" s="27"/>
      <c r="E37" s="27"/>
      <c r="F37" s="13"/>
      <c r="G37" s="13">
        <f t="shared" si="0"/>
        <v>160000000</v>
      </c>
      <c r="H37" s="27"/>
      <c r="J37" s="68"/>
    </row>
    <row r="38" spans="1:10" s="42" customFormat="1" ht="15.75">
      <c r="A38" s="7" t="s">
        <v>61</v>
      </c>
      <c r="B38" s="4" t="s">
        <v>31</v>
      </c>
      <c r="C38" s="27">
        <v>5000000</v>
      </c>
      <c r="D38" s="27"/>
      <c r="E38" s="27"/>
      <c r="F38" s="13"/>
      <c r="G38" s="13">
        <f t="shared" si="0"/>
        <v>5000000</v>
      </c>
      <c r="H38" s="27"/>
      <c r="J38" s="68"/>
    </row>
    <row r="39" spans="1:10" s="42" customFormat="1" ht="15.75">
      <c r="A39" s="7" t="s">
        <v>62</v>
      </c>
      <c r="B39" s="4" t="s">
        <v>32</v>
      </c>
      <c r="C39" s="27">
        <v>100000000</v>
      </c>
      <c r="D39" s="27"/>
      <c r="E39" s="27"/>
      <c r="F39" s="13"/>
      <c r="G39" s="13">
        <f t="shared" si="0"/>
        <v>100000000</v>
      </c>
      <c r="H39" s="27"/>
      <c r="J39" s="68"/>
    </row>
    <row r="40" spans="1:10" s="42" customFormat="1" ht="15.75">
      <c r="A40" s="7" t="s">
        <v>63</v>
      </c>
      <c r="B40" s="4" t="s">
        <v>33</v>
      </c>
      <c r="C40" s="27">
        <v>14000000</v>
      </c>
      <c r="D40" s="27"/>
      <c r="E40" s="27"/>
      <c r="F40" s="13"/>
      <c r="G40" s="13">
        <f t="shared" si="0"/>
        <v>14000000</v>
      </c>
      <c r="H40" s="27"/>
      <c r="J40" s="68"/>
    </row>
    <row r="41" spans="1:10" s="5" customFormat="1" ht="15.75">
      <c r="A41" s="8" t="s">
        <v>146</v>
      </c>
      <c r="B41" s="6" t="s">
        <v>34</v>
      </c>
      <c r="C41" s="17">
        <f>SUM(C42:C47)</f>
        <v>66052184</v>
      </c>
      <c r="D41" s="17">
        <f>SUM(D42:D47)</f>
        <v>2277489</v>
      </c>
      <c r="E41" s="17">
        <f>SUM(E42:E47)</f>
        <v>10860000</v>
      </c>
      <c r="F41" s="17">
        <f>SUM(F42:F47)</f>
        <v>0</v>
      </c>
      <c r="G41" s="29">
        <f aca="true" t="shared" si="1" ref="G41:G64">SUM(C41:F41)</f>
        <v>79189673</v>
      </c>
      <c r="H41" s="17">
        <f>SUM(H42:H47)</f>
        <v>0</v>
      </c>
      <c r="J41" s="68"/>
    </row>
    <row r="42" spans="1:10" s="5" customFormat="1" ht="15.75">
      <c r="A42" s="7" t="s">
        <v>178</v>
      </c>
      <c r="B42" s="4" t="s">
        <v>179</v>
      </c>
      <c r="C42" s="27">
        <v>5600000</v>
      </c>
      <c r="D42" s="27">
        <v>177489</v>
      </c>
      <c r="E42" s="27">
        <v>1000000</v>
      </c>
      <c r="F42" s="29"/>
      <c r="G42" s="13">
        <f t="shared" si="1"/>
        <v>6777489</v>
      </c>
      <c r="H42" s="27"/>
      <c r="J42" s="68"/>
    </row>
    <row r="43" spans="1:10" s="42" customFormat="1" ht="15.75">
      <c r="A43" s="7" t="s">
        <v>64</v>
      </c>
      <c r="B43" s="4" t="s">
        <v>35</v>
      </c>
      <c r="C43" s="27">
        <f>21210000+11000000-4000000</f>
        <v>28210000</v>
      </c>
      <c r="D43" s="27"/>
      <c r="E43" s="48">
        <v>4630000</v>
      </c>
      <c r="F43" s="13"/>
      <c r="G43" s="13">
        <f t="shared" si="1"/>
        <v>32840000</v>
      </c>
      <c r="H43" s="27"/>
      <c r="J43" s="68"/>
    </row>
    <row r="44" spans="1:10" s="42" customFormat="1" ht="15.75">
      <c r="A44" s="7" t="s">
        <v>65</v>
      </c>
      <c r="B44" s="4" t="s">
        <v>148</v>
      </c>
      <c r="C44" s="27">
        <v>4797584</v>
      </c>
      <c r="D44" s="27">
        <v>2100000</v>
      </c>
      <c r="E44" s="27">
        <v>4630000</v>
      </c>
      <c r="F44" s="13"/>
      <c r="G44" s="13">
        <f t="shared" si="1"/>
        <v>11527584</v>
      </c>
      <c r="H44" s="27"/>
      <c r="J44" s="68"/>
    </row>
    <row r="45" spans="1:10" s="42" customFormat="1" ht="15.75">
      <c r="A45" s="7" t="s">
        <v>157</v>
      </c>
      <c r="B45" s="4" t="s">
        <v>158</v>
      </c>
      <c r="C45" s="27">
        <v>250000</v>
      </c>
      <c r="D45" s="27"/>
      <c r="E45" s="27">
        <v>600000</v>
      </c>
      <c r="F45" s="27"/>
      <c r="G45" s="13">
        <f t="shared" si="1"/>
        <v>850000</v>
      </c>
      <c r="H45" s="27"/>
      <c r="J45" s="68"/>
    </row>
    <row r="46" spans="1:10" s="42" customFormat="1" ht="15.75">
      <c r="A46" s="7" t="s">
        <v>224</v>
      </c>
      <c r="B46" s="4" t="s">
        <v>225</v>
      </c>
      <c r="C46" s="27">
        <v>124800</v>
      </c>
      <c r="D46" s="27"/>
      <c r="E46" s="27"/>
      <c r="F46" s="13"/>
      <c r="G46" s="13">
        <f t="shared" si="1"/>
        <v>124800</v>
      </c>
      <c r="H46" s="27"/>
      <c r="J46" s="68"/>
    </row>
    <row r="47" spans="1:10" s="9" customFormat="1" ht="15.75">
      <c r="A47" s="7" t="s">
        <v>263</v>
      </c>
      <c r="B47" s="4" t="s">
        <v>273</v>
      </c>
      <c r="C47" s="27">
        <f>27069840-40</f>
        <v>27069800</v>
      </c>
      <c r="D47" s="17"/>
      <c r="E47" s="17"/>
      <c r="F47" s="17"/>
      <c r="G47" s="13">
        <f t="shared" si="1"/>
        <v>27069800</v>
      </c>
      <c r="H47" s="17"/>
      <c r="J47" s="68"/>
    </row>
    <row r="48" spans="1:10" s="5" customFormat="1" ht="15.75">
      <c r="A48" s="8" t="s">
        <v>266</v>
      </c>
      <c r="B48" s="6" t="s">
        <v>159</v>
      </c>
      <c r="C48" s="17">
        <f>SUM(C49:C52)</f>
        <v>86680634</v>
      </c>
      <c r="D48" s="17">
        <f>SUM(D49:D52)</f>
        <v>850000</v>
      </c>
      <c r="E48" s="17">
        <f>SUM(E49:E52)</f>
        <v>240968713</v>
      </c>
      <c r="F48" s="17">
        <f>SUM(F49:F52)</f>
        <v>103450000</v>
      </c>
      <c r="G48" s="29">
        <f t="shared" si="1"/>
        <v>431949347</v>
      </c>
      <c r="H48" s="17">
        <f>SUM(H49:H52)</f>
        <v>93000000</v>
      </c>
      <c r="J48" s="68"/>
    </row>
    <row r="49" spans="1:10" s="9" customFormat="1" ht="15.75">
      <c r="A49" s="7" t="s">
        <v>208</v>
      </c>
      <c r="B49" s="4" t="s">
        <v>209</v>
      </c>
      <c r="C49" s="27"/>
      <c r="D49" s="27"/>
      <c r="E49" s="28"/>
      <c r="F49" s="27">
        <v>103450000</v>
      </c>
      <c r="G49" s="13">
        <f t="shared" si="1"/>
        <v>103450000</v>
      </c>
      <c r="H49" s="28"/>
      <c r="J49" s="68"/>
    </row>
    <row r="50" spans="1:10" s="42" customFormat="1" ht="15.75" hidden="1">
      <c r="A50" s="7" t="s">
        <v>185</v>
      </c>
      <c r="B50" s="49" t="s">
        <v>186</v>
      </c>
      <c r="C50" s="27"/>
      <c r="D50" s="27"/>
      <c r="E50" s="13"/>
      <c r="F50" s="27"/>
      <c r="G50" s="13">
        <f t="shared" si="1"/>
        <v>0</v>
      </c>
      <c r="H50" s="13"/>
      <c r="J50" s="68"/>
    </row>
    <row r="51" spans="1:10" s="42" customFormat="1" ht="15.75">
      <c r="A51" s="7" t="s">
        <v>160</v>
      </c>
      <c r="B51" s="4" t="s">
        <v>161</v>
      </c>
      <c r="C51" s="27">
        <f>80000000+6185634</f>
        <v>86185634</v>
      </c>
      <c r="D51" s="27">
        <f>637350-637350</f>
        <v>0</v>
      </c>
      <c r="E51" s="27">
        <v>237131138</v>
      </c>
      <c r="F51" s="27"/>
      <c r="G51" s="13">
        <f t="shared" si="1"/>
        <v>323316772</v>
      </c>
      <c r="H51" s="27">
        <v>93000000</v>
      </c>
      <c r="J51" s="68"/>
    </row>
    <row r="52" spans="1:10" s="42" customFormat="1" ht="15.75">
      <c r="A52" s="7" t="s">
        <v>162</v>
      </c>
      <c r="B52" s="4" t="s">
        <v>163</v>
      </c>
      <c r="C52" s="27">
        <f>1000000-250000-255000</f>
        <v>495000</v>
      </c>
      <c r="D52" s="27">
        <f>3800000-950000-2000000</f>
        <v>850000</v>
      </c>
      <c r="E52" s="13">
        <v>3837575</v>
      </c>
      <c r="F52" s="27"/>
      <c r="G52" s="13">
        <f t="shared" si="1"/>
        <v>5182575</v>
      </c>
      <c r="H52" s="13"/>
      <c r="J52" s="68"/>
    </row>
    <row r="53" spans="1:10" s="5" customFormat="1" ht="15.75">
      <c r="A53" s="8" t="s">
        <v>147</v>
      </c>
      <c r="B53" s="6" t="s">
        <v>36</v>
      </c>
      <c r="C53" s="17">
        <f>SUM(C54:C57)</f>
        <v>36800000</v>
      </c>
      <c r="D53" s="17">
        <f>SUM(D54:D57)</f>
        <v>5912000</v>
      </c>
      <c r="E53" s="17">
        <f>SUM(E54:E57)</f>
        <v>246704757</v>
      </c>
      <c r="F53" s="17">
        <f>SUM(F54:F57)</f>
        <v>350000</v>
      </c>
      <c r="G53" s="29">
        <f t="shared" si="1"/>
        <v>289766757</v>
      </c>
      <c r="H53" s="17">
        <f>SUM(H54:H57)</f>
        <v>0</v>
      </c>
      <c r="J53" s="68"/>
    </row>
    <row r="54" spans="1:10" s="42" customFormat="1" ht="15.75">
      <c r="A54" s="7" t="s">
        <v>66</v>
      </c>
      <c r="B54" s="4" t="s">
        <v>3</v>
      </c>
      <c r="C54" s="27">
        <f>1300000+500000</f>
        <v>1800000</v>
      </c>
      <c r="D54" s="27">
        <v>412000</v>
      </c>
      <c r="E54" s="27">
        <v>2656249</v>
      </c>
      <c r="F54" s="46">
        <v>50000</v>
      </c>
      <c r="G54" s="13">
        <f t="shared" si="1"/>
        <v>4918249</v>
      </c>
      <c r="H54" s="27"/>
      <c r="J54" s="68"/>
    </row>
    <row r="55" spans="1:10" s="42" customFormat="1" ht="15.75">
      <c r="A55" s="7" t="s">
        <v>67</v>
      </c>
      <c r="B55" s="4" t="s">
        <v>37</v>
      </c>
      <c r="C55" s="27">
        <v>20000000</v>
      </c>
      <c r="D55" s="27">
        <v>5500000</v>
      </c>
      <c r="E55" s="27">
        <v>244048508</v>
      </c>
      <c r="F55" s="46">
        <v>300000</v>
      </c>
      <c r="G55" s="13">
        <f t="shared" si="1"/>
        <v>269848508</v>
      </c>
      <c r="H55" s="27"/>
      <c r="J55" s="68"/>
    </row>
    <row r="56" spans="1:10" s="42" customFormat="1" ht="15.75">
      <c r="A56" s="7" t="s">
        <v>68</v>
      </c>
      <c r="B56" s="4" t="s">
        <v>38</v>
      </c>
      <c r="C56" s="27">
        <v>6000000</v>
      </c>
      <c r="D56" s="27"/>
      <c r="E56" s="27"/>
      <c r="F56" s="27"/>
      <c r="G56" s="13">
        <f t="shared" si="1"/>
        <v>6000000</v>
      </c>
      <c r="H56" s="27"/>
      <c r="J56" s="68"/>
    </row>
    <row r="57" spans="1:10" s="42" customFormat="1" ht="15.75">
      <c r="A57" s="7" t="s">
        <v>69</v>
      </c>
      <c r="B57" s="4" t="s">
        <v>39</v>
      </c>
      <c r="C57" s="27">
        <v>9000000</v>
      </c>
      <c r="D57" s="27"/>
      <c r="E57" s="27"/>
      <c r="F57" s="27"/>
      <c r="G57" s="13">
        <f t="shared" si="1"/>
        <v>9000000</v>
      </c>
      <c r="H57" s="27"/>
      <c r="J57" s="68"/>
    </row>
    <row r="58" spans="1:10" s="5" customFormat="1" ht="15.75">
      <c r="A58" s="8" t="s">
        <v>149</v>
      </c>
      <c r="B58" s="6" t="s">
        <v>40</v>
      </c>
      <c r="C58" s="17">
        <f>SUM(C59:C59)</f>
        <v>266521688</v>
      </c>
      <c r="D58" s="17">
        <f>SUM(D59:D59)</f>
        <v>0</v>
      </c>
      <c r="E58" s="17">
        <f>SUM(E59:E59)</f>
        <v>0</v>
      </c>
      <c r="F58" s="17">
        <f>SUM(F59:F59)</f>
        <v>0</v>
      </c>
      <c r="G58" s="29">
        <f t="shared" si="1"/>
        <v>266521688</v>
      </c>
      <c r="H58" s="17">
        <f>SUM(H59:H59)</f>
        <v>0</v>
      </c>
      <c r="J58" s="68"/>
    </row>
    <row r="59" spans="1:10" s="5" customFormat="1" ht="15.75">
      <c r="A59" s="7" t="s">
        <v>173</v>
      </c>
      <c r="B59" s="4" t="s">
        <v>4</v>
      </c>
      <c r="C59" s="27">
        <f>135000000+110000000+15000000+6521688</f>
        <v>266521688</v>
      </c>
      <c r="D59" s="27"/>
      <c r="E59" s="17"/>
      <c r="F59" s="13"/>
      <c r="G59" s="13">
        <f t="shared" si="1"/>
        <v>266521688</v>
      </c>
      <c r="H59" s="17"/>
      <c r="J59" s="68"/>
    </row>
    <row r="60" spans="1:10" s="5" customFormat="1" ht="15.75">
      <c r="A60" s="8" t="s">
        <v>167</v>
      </c>
      <c r="B60" s="6" t="s">
        <v>168</v>
      </c>
      <c r="C60" s="17">
        <f>SUM(C61:C62)</f>
        <v>5000000</v>
      </c>
      <c r="D60" s="17">
        <f>SUM(D61:D62)</f>
        <v>0</v>
      </c>
      <c r="E60" s="17">
        <f>SUM(E61:E62)</f>
        <v>19985795</v>
      </c>
      <c r="F60" s="17">
        <f>SUM(F61:F62)</f>
        <v>0</v>
      </c>
      <c r="G60" s="29">
        <f t="shared" si="1"/>
        <v>24985795</v>
      </c>
      <c r="H60" s="17">
        <f>SUM(H61:H62)</f>
        <v>0</v>
      </c>
      <c r="J60" s="68"/>
    </row>
    <row r="61" spans="1:10" s="5" customFormat="1" ht="15.75">
      <c r="A61" s="7" t="s">
        <v>169</v>
      </c>
      <c r="B61" s="4" t="s">
        <v>170</v>
      </c>
      <c r="C61" s="27">
        <f>6000000-6000000</f>
        <v>0</v>
      </c>
      <c r="D61" s="27">
        <f>1800000-1800000</f>
        <v>0</v>
      </c>
      <c r="E61" s="27">
        <v>19985795</v>
      </c>
      <c r="F61" s="27"/>
      <c r="G61" s="13">
        <f t="shared" si="1"/>
        <v>19985795</v>
      </c>
      <c r="H61" s="27">
        <f>38180000-38180000</f>
        <v>0</v>
      </c>
      <c r="J61" s="68"/>
    </row>
    <row r="62" spans="1:10" s="42" customFormat="1" ht="15.75">
      <c r="A62" s="7" t="s">
        <v>171</v>
      </c>
      <c r="B62" s="4" t="s">
        <v>172</v>
      </c>
      <c r="C62" s="27">
        <v>5000000</v>
      </c>
      <c r="D62" s="27"/>
      <c r="E62" s="27"/>
      <c r="F62" s="27"/>
      <c r="G62" s="13">
        <f t="shared" si="1"/>
        <v>5000000</v>
      </c>
      <c r="H62" s="27"/>
      <c r="J62" s="68"/>
    </row>
    <row r="63" spans="1:10" s="5" customFormat="1" ht="15.75">
      <c r="A63" s="8" t="s">
        <v>150</v>
      </c>
      <c r="B63" s="6" t="s">
        <v>41</v>
      </c>
      <c r="C63" s="17">
        <f>SUM(C64:C71)</f>
        <v>73000000</v>
      </c>
      <c r="D63" s="17">
        <f>SUM(D64:D71)</f>
        <v>3700000</v>
      </c>
      <c r="E63" s="17">
        <f>SUM(E64:E71)</f>
        <v>673079202</v>
      </c>
      <c r="F63" s="17">
        <f>SUM(F64:F71)</f>
        <v>1500000</v>
      </c>
      <c r="G63" s="18">
        <f t="shared" si="1"/>
        <v>751279202</v>
      </c>
      <c r="H63" s="17">
        <f>SUM(H64:H71)</f>
        <v>0</v>
      </c>
      <c r="J63" s="68"/>
    </row>
    <row r="64" spans="1:10" s="5" customFormat="1" ht="15.75">
      <c r="A64" s="7" t="s">
        <v>70</v>
      </c>
      <c r="B64" s="4" t="s">
        <v>75</v>
      </c>
      <c r="C64" s="27">
        <f>17000000+18000000-5000000</f>
        <v>30000000</v>
      </c>
      <c r="D64" s="27"/>
      <c r="E64" s="27">
        <v>500000000</v>
      </c>
      <c r="F64" s="27"/>
      <c r="G64" s="13">
        <f t="shared" si="1"/>
        <v>530000000</v>
      </c>
      <c r="H64" s="27"/>
      <c r="J64" s="68"/>
    </row>
    <row r="65" spans="1:10" s="5" customFormat="1" ht="15.75" hidden="1">
      <c r="A65" s="7" t="s">
        <v>174</v>
      </c>
      <c r="B65" s="4" t="s">
        <v>233</v>
      </c>
      <c r="C65" s="27"/>
      <c r="D65" s="27"/>
      <c r="E65" s="27"/>
      <c r="F65" s="27"/>
      <c r="G65" s="13">
        <f aca="true" t="shared" si="2" ref="G65:G71">SUM(C65:F65)</f>
        <v>0</v>
      </c>
      <c r="H65" s="27"/>
      <c r="J65" s="68"/>
    </row>
    <row r="66" spans="1:10" s="5" customFormat="1" ht="15.75" hidden="1">
      <c r="A66" s="7" t="s">
        <v>260</v>
      </c>
      <c r="B66" s="4" t="s">
        <v>261</v>
      </c>
      <c r="C66" s="27"/>
      <c r="D66" s="27"/>
      <c r="E66" s="27"/>
      <c r="F66" s="27"/>
      <c r="G66" s="13">
        <f t="shared" si="2"/>
        <v>0</v>
      </c>
      <c r="H66" s="27"/>
      <c r="J66" s="68"/>
    </row>
    <row r="67" spans="1:10" s="42" customFormat="1" ht="15.75">
      <c r="A67" s="7" t="s">
        <v>71</v>
      </c>
      <c r="B67" s="4" t="s">
        <v>76</v>
      </c>
      <c r="C67" s="27">
        <f>16000000+1500000</f>
        <v>17500000</v>
      </c>
      <c r="D67" s="27">
        <f>1500000+500000</f>
        <v>2000000</v>
      </c>
      <c r="E67" s="27">
        <v>158507376</v>
      </c>
      <c r="F67" s="27">
        <f>3000000-1500000</f>
        <v>1500000</v>
      </c>
      <c r="G67" s="13">
        <f t="shared" si="2"/>
        <v>179507376</v>
      </c>
      <c r="H67" s="27"/>
      <c r="J67" s="68"/>
    </row>
    <row r="68" spans="1:10" s="42" customFormat="1" ht="15.75">
      <c r="A68" s="7" t="s">
        <v>72</v>
      </c>
      <c r="B68" s="4" t="s">
        <v>77</v>
      </c>
      <c r="C68" s="27">
        <f>1000000</f>
        <v>1000000</v>
      </c>
      <c r="D68" s="27"/>
      <c r="E68" s="27">
        <v>2440000</v>
      </c>
      <c r="F68" s="27"/>
      <c r="G68" s="13">
        <f t="shared" si="2"/>
        <v>3440000</v>
      </c>
      <c r="H68" s="27"/>
      <c r="J68" s="68"/>
    </row>
    <row r="69" spans="1:10" s="42" customFormat="1" ht="15.75">
      <c r="A69" s="7" t="s">
        <v>73</v>
      </c>
      <c r="B69" s="4" t="s">
        <v>78</v>
      </c>
      <c r="C69" s="27">
        <f>2000000+500000</f>
        <v>2500000</v>
      </c>
      <c r="D69" s="27">
        <v>600000</v>
      </c>
      <c r="E69" s="27">
        <v>5631826</v>
      </c>
      <c r="F69" s="27"/>
      <c r="G69" s="13">
        <f t="shared" si="2"/>
        <v>8731826</v>
      </c>
      <c r="H69" s="27"/>
      <c r="J69" s="68"/>
    </row>
    <row r="70" spans="1:10" s="42" customFormat="1" ht="15.75">
      <c r="A70" s="7" t="s">
        <v>74</v>
      </c>
      <c r="B70" s="4" t="s">
        <v>79</v>
      </c>
      <c r="C70" s="27">
        <f>21000000+500000</f>
        <v>21500000</v>
      </c>
      <c r="D70" s="27">
        <v>1100000</v>
      </c>
      <c r="E70" s="27">
        <v>6300000</v>
      </c>
      <c r="F70" s="27"/>
      <c r="G70" s="13">
        <f t="shared" si="2"/>
        <v>28900000</v>
      </c>
      <c r="H70" s="27"/>
      <c r="J70" s="68"/>
    </row>
    <row r="71" spans="1:10" s="42" customFormat="1" ht="15.75">
      <c r="A71" s="7" t="s">
        <v>81</v>
      </c>
      <c r="B71" s="4" t="s">
        <v>80</v>
      </c>
      <c r="C71" s="27">
        <v>500000</v>
      </c>
      <c r="D71" s="27"/>
      <c r="E71" s="27">
        <v>200000</v>
      </c>
      <c r="F71" s="13"/>
      <c r="G71" s="13">
        <f t="shared" si="2"/>
        <v>700000</v>
      </c>
      <c r="H71" s="27"/>
      <c r="J71" s="68"/>
    </row>
    <row r="72" spans="1:10" s="5" customFormat="1" ht="15.75">
      <c r="A72" s="8" t="s">
        <v>151</v>
      </c>
      <c r="B72" s="6" t="s">
        <v>85</v>
      </c>
      <c r="C72" s="17">
        <f>SUM(C73:C76)</f>
        <v>3750000</v>
      </c>
      <c r="D72" s="17">
        <f>SUM(D73:D75)</f>
        <v>0</v>
      </c>
      <c r="E72" s="17">
        <f>SUM(E73:E75)</f>
        <v>0</v>
      </c>
      <c r="F72" s="17">
        <f>SUM(F73:F75)</f>
        <v>0</v>
      </c>
      <c r="G72" s="29">
        <f>SUM(C72:F72)</f>
        <v>3750000</v>
      </c>
      <c r="H72" s="17">
        <f>SUM(H73:H75)</f>
        <v>0</v>
      </c>
      <c r="J72" s="68"/>
    </row>
    <row r="73" spans="1:10" s="5" customFormat="1" ht="15.75" hidden="1">
      <c r="A73" s="7" t="s">
        <v>210</v>
      </c>
      <c r="B73" s="4" t="s">
        <v>211</v>
      </c>
      <c r="C73" s="27">
        <f>5000000-5000000</f>
        <v>0</v>
      </c>
      <c r="D73" s="27"/>
      <c r="E73" s="17"/>
      <c r="F73" s="29"/>
      <c r="G73" s="13">
        <f>SUM(C73:F73)</f>
        <v>0</v>
      </c>
      <c r="H73" s="17"/>
      <c r="J73" s="68"/>
    </row>
    <row r="74" spans="1:10" s="5" customFormat="1" ht="15.75">
      <c r="A74" s="7" t="s">
        <v>228</v>
      </c>
      <c r="B74" s="4" t="s">
        <v>227</v>
      </c>
      <c r="C74" s="27">
        <v>1500000</v>
      </c>
      <c r="D74" s="27"/>
      <c r="E74" s="17"/>
      <c r="F74" s="29"/>
      <c r="G74" s="13">
        <f>SUM(C74:F74)</f>
        <v>1500000</v>
      </c>
      <c r="H74" s="17"/>
      <c r="J74" s="68"/>
    </row>
    <row r="75" spans="1:10" s="5" customFormat="1" ht="15.75">
      <c r="A75" s="7" t="s">
        <v>212</v>
      </c>
      <c r="B75" s="4" t="s">
        <v>213</v>
      </c>
      <c r="C75" s="27">
        <v>2000000</v>
      </c>
      <c r="D75" s="27"/>
      <c r="E75" s="17"/>
      <c r="F75" s="29"/>
      <c r="G75" s="13">
        <f>SUM(C75:F75)</f>
        <v>2000000</v>
      </c>
      <c r="H75" s="17"/>
      <c r="J75" s="68"/>
    </row>
    <row r="76" spans="1:10" s="5" customFormat="1" ht="15.75">
      <c r="A76" s="7" t="s">
        <v>288</v>
      </c>
      <c r="B76" s="4" t="s">
        <v>289</v>
      </c>
      <c r="C76" s="27">
        <v>250000</v>
      </c>
      <c r="D76" s="27"/>
      <c r="E76" s="17"/>
      <c r="F76" s="29"/>
      <c r="G76" s="13">
        <f>SUM(C76:F76)</f>
        <v>250000</v>
      </c>
      <c r="H76" s="17"/>
      <c r="J76" s="68"/>
    </row>
    <row r="77" spans="1:10" s="5" customFormat="1" ht="15.75">
      <c r="A77" s="7"/>
      <c r="B77" s="4"/>
      <c r="C77" s="27"/>
      <c r="D77" s="27"/>
      <c r="E77" s="17"/>
      <c r="F77" s="29"/>
      <c r="G77" s="18"/>
      <c r="H77" s="17"/>
      <c r="J77" s="68"/>
    </row>
    <row r="78" spans="1:10" s="9" customFormat="1" ht="15.75">
      <c r="A78" s="19">
        <v>2</v>
      </c>
      <c r="B78" s="12" t="s">
        <v>5</v>
      </c>
      <c r="C78" s="28">
        <f>SUM(C79,C84,C88,C96,C99)</f>
        <v>60571869</v>
      </c>
      <c r="D78" s="28">
        <f>SUM(D79,D84,D88,D96,D99)</f>
        <v>8294076</v>
      </c>
      <c r="E78" s="28">
        <f>SUM(E79,E84,E88,E96,E99)</f>
        <v>452746483</v>
      </c>
      <c r="F78" s="28">
        <f>SUM(F79,F84,F88,F96,F99)</f>
        <v>2700000</v>
      </c>
      <c r="G78" s="18">
        <f aca="true" t="shared" si="3" ref="G78:G89">SUM(C78:F78)</f>
        <v>524312428</v>
      </c>
      <c r="H78" s="28">
        <f>SUM(H79,H84,H88,H96,H99)</f>
        <v>0</v>
      </c>
      <c r="J78" s="68"/>
    </row>
    <row r="79" spans="1:10" s="5" customFormat="1" ht="15.75">
      <c r="A79" s="8" t="s">
        <v>152</v>
      </c>
      <c r="B79" s="6" t="s">
        <v>86</v>
      </c>
      <c r="C79" s="17">
        <f>SUM(C80:C83)</f>
        <v>38355000</v>
      </c>
      <c r="D79" s="17">
        <f>SUM(D80:D83)</f>
        <v>6566587</v>
      </c>
      <c r="E79" s="17">
        <f>SUM(E80:E83)</f>
        <v>316970093</v>
      </c>
      <c r="F79" s="17">
        <f>SUM(F80:F83)</f>
        <v>2500000</v>
      </c>
      <c r="G79" s="29">
        <f t="shared" si="3"/>
        <v>364391680</v>
      </c>
      <c r="H79" s="17">
        <f>SUM(H80:H83)</f>
        <v>0</v>
      </c>
      <c r="J79" s="68"/>
    </row>
    <row r="80" spans="1:10" s="42" customFormat="1" ht="15.75">
      <c r="A80" s="7" t="s">
        <v>87</v>
      </c>
      <c r="B80" s="4" t="s">
        <v>88</v>
      </c>
      <c r="C80" s="27">
        <f>32000000+255000</f>
        <v>32255000</v>
      </c>
      <c r="D80" s="27">
        <v>5700000</v>
      </c>
      <c r="E80" s="27">
        <v>233869363</v>
      </c>
      <c r="F80" s="27">
        <v>2500000</v>
      </c>
      <c r="G80" s="13">
        <f t="shared" si="3"/>
        <v>274324363</v>
      </c>
      <c r="H80" s="27"/>
      <c r="J80" s="68"/>
    </row>
    <row r="81" spans="1:10" s="42" customFormat="1" ht="15.75">
      <c r="A81" s="7" t="s">
        <v>89</v>
      </c>
      <c r="B81" s="4" t="s">
        <v>90</v>
      </c>
      <c r="C81" s="27">
        <v>3000000</v>
      </c>
      <c r="D81" s="27"/>
      <c r="E81" s="27">
        <v>2697414</v>
      </c>
      <c r="F81" s="43"/>
      <c r="G81" s="13">
        <f t="shared" si="3"/>
        <v>5697414</v>
      </c>
      <c r="H81" s="27"/>
      <c r="J81" s="68"/>
    </row>
    <row r="82" spans="1:10" s="42" customFormat="1" ht="15.75">
      <c r="A82" s="7" t="s">
        <v>91</v>
      </c>
      <c r="B82" s="4" t="s">
        <v>92</v>
      </c>
      <c r="C82" s="27">
        <v>3000000</v>
      </c>
      <c r="D82" s="27">
        <v>866587</v>
      </c>
      <c r="E82" s="27">
        <v>17153316</v>
      </c>
      <c r="F82" s="27"/>
      <c r="G82" s="13">
        <f t="shared" si="3"/>
        <v>21019903</v>
      </c>
      <c r="H82" s="27"/>
      <c r="J82" s="68"/>
    </row>
    <row r="83" spans="1:10" s="42" customFormat="1" ht="15.75">
      <c r="A83" s="4" t="s">
        <v>93</v>
      </c>
      <c r="B83" s="4" t="s">
        <v>6</v>
      </c>
      <c r="C83" s="27">
        <v>100000</v>
      </c>
      <c r="D83" s="27"/>
      <c r="E83" s="27">
        <v>63250000</v>
      </c>
      <c r="F83" s="27"/>
      <c r="G83" s="13">
        <f t="shared" si="3"/>
        <v>63350000</v>
      </c>
      <c r="H83" s="27"/>
      <c r="J83" s="68"/>
    </row>
    <row r="84" spans="1:10" s="5" customFormat="1" ht="15.75">
      <c r="A84" s="8" t="s">
        <v>153</v>
      </c>
      <c r="B84" s="6" t="s">
        <v>94</v>
      </c>
      <c r="C84" s="17">
        <f>SUM(C85:C86)</f>
        <v>800000</v>
      </c>
      <c r="D84" s="17">
        <f>SUM(D85:D86)</f>
        <v>0</v>
      </c>
      <c r="E84" s="17">
        <f>SUM(E85:E87)</f>
        <v>66792952</v>
      </c>
      <c r="F84" s="17">
        <f>SUM(F85:F86)</f>
        <v>200000</v>
      </c>
      <c r="G84" s="29">
        <f t="shared" si="3"/>
        <v>67792952</v>
      </c>
      <c r="H84" s="17">
        <f>SUM(H85:H86)</f>
        <v>0</v>
      </c>
      <c r="J84" s="68"/>
    </row>
    <row r="85" spans="1:10" s="5" customFormat="1" ht="15.75">
      <c r="A85" s="7" t="s">
        <v>237</v>
      </c>
      <c r="B85" s="4" t="s">
        <v>238</v>
      </c>
      <c r="C85" s="27"/>
      <c r="D85" s="17"/>
      <c r="E85" s="27">
        <v>63000000</v>
      </c>
      <c r="F85" s="47"/>
      <c r="G85" s="13">
        <f t="shared" si="3"/>
        <v>63000000</v>
      </c>
      <c r="H85" s="27"/>
      <c r="J85" s="68"/>
    </row>
    <row r="86" spans="1:10" s="42" customFormat="1" ht="15.75">
      <c r="A86" s="7" t="s">
        <v>95</v>
      </c>
      <c r="B86" s="4" t="s">
        <v>96</v>
      </c>
      <c r="C86" s="27">
        <v>800000</v>
      </c>
      <c r="D86" s="27"/>
      <c r="E86" s="27">
        <v>3692952</v>
      </c>
      <c r="F86" s="27">
        <f>400000-200000</f>
        <v>200000</v>
      </c>
      <c r="G86" s="13">
        <f t="shared" si="3"/>
        <v>4692952</v>
      </c>
      <c r="H86" s="27"/>
      <c r="J86" s="68"/>
    </row>
    <row r="87" spans="1:10" s="42" customFormat="1" ht="15.75">
      <c r="A87" s="7" t="s">
        <v>291</v>
      </c>
      <c r="B87" s="4" t="s">
        <v>292</v>
      </c>
      <c r="C87" s="27"/>
      <c r="D87" s="27"/>
      <c r="E87" s="27">
        <v>100000</v>
      </c>
      <c r="F87" s="27"/>
      <c r="G87" s="13">
        <f t="shared" si="3"/>
        <v>100000</v>
      </c>
      <c r="H87" s="27"/>
      <c r="J87" s="68"/>
    </row>
    <row r="88" spans="1:10" s="5" customFormat="1" ht="15.75">
      <c r="A88" s="8" t="s">
        <v>154</v>
      </c>
      <c r="B88" s="6" t="s">
        <v>97</v>
      </c>
      <c r="C88" s="17">
        <f>SUM(C89:C95)</f>
        <v>8150000</v>
      </c>
      <c r="D88" s="17">
        <f>SUM(D89:D95)</f>
        <v>0</v>
      </c>
      <c r="E88" s="17">
        <f>SUM(E89:E95)</f>
        <v>10657661</v>
      </c>
      <c r="F88" s="17">
        <f>SUM(F89:F95)</f>
        <v>0</v>
      </c>
      <c r="G88" s="29">
        <f t="shared" si="3"/>
        <v>18807661</v>
      </c>
      <c r="H88" s="17">
        <f>SUM(H89:H95)</f>
        <v>0</v>
      </c>
      <c r="J88" s="68"/>
    </row>
    <row r="89" spans="1:10" s="5" customFormat="1" ht="15.75">
      <c r="A89" s="4" t="s">
        <v>98</v>
      </c>
      <c r="B89" s="4" t="s">
        <v>99</v>
      </c>
      <c r="C89" s="27">
        <v>500000</v>
      </c>
      <c r="D89" s="27"/>
      <c r="E89" s="27">
        <v>100000</v>
      </c>
      <c r="F89" s="17"/>
      <c r="G89" s="13">
        <f t="shared" si="3"/>
        <v>600000</v>
      </c>
      <c r="H89" s="27"/>
      <c r="J89" s="68"/>
    </row>
    <row r="90" spans="1:10" s="42" customFormat="1" ht="15.75">
      <c r="A90" s="4" t="s">
        <v>100</v>
      </c>
      <c r="B90" s="4" t="s">
        <v>101</v>
      </c>
      <c r="C90" s="27">
        <v>200000</v>
      </c>
      <c r="D90" s="27"/>
      <c r="E90" s="27">
        <v>1240661</v>
      </c>
      <c r="F90" s="13"/>
      <c r="G90" s="13">
        <f aca="true" t="shared" si="4" ref="G90:G95">SUM(C90:F90)</f>
        <v>1440661</v>
      </c>
      <c r="H90" s="27"/>
      <c r="J90" s="68"/>
    </row>
    <row r="91" spans="1:10" s="42" customFormat="1" ht="15.75">
      <c r="A91" s="4" t="s">
        <v>239</v>
      </c>
      <c r="B91" s="4" t="s">
        <v>240</v>
      </c>
      <c r="C91" s="27"/>
      <c r="D91" s="27"/>
      <c r="E91" s="27">
        <v>100000</v>
      </c>
      <c r="F91" s="13"/>
      <c r="G91" s="13">
        <f t="shared" si="4"/>
        <v>100000</v>
      </c>
      <c r="H91" s="27"/>
      <c r="J91" s="68"/>
    </row>
    <row r="92" spans="1:10" s="42" customFormat="1" ht="15.75">
      <c r="A92" s="4" t="s">
        <v>102</v>
      </c>
      <c r="B92" s="4" t="s">
        <v>103</v>
      </c>
      <c r="C92" s="27">
        <f>6000000+500000</f>
        <v>6500000</v>
      </c>
      <c r="D92" s="27">
        <f>2000000-2000000</f>
        <v>0</v>
      </c>
      <c r="E92" s="27">
        <v>5567000</v>
      </c>
      <c r="F92" s="13"/>
      <c r="G92" s="13">
        <f t="shared" si="4"/>
        <v>12067000</v>
      </c>
      <c r="H92" s="27"/>
      <c r="J92" s="68"/>
    </row>
    <row r="93" spans="1:10" s="42" customFormat="1" ht="15.75">
      <c r="A93" s="4" t="s">
        <v>241</v>
      </c>
      <c r="B93" s="4" t="s">
        <v>242</v>
      </c>
      <c r="C93" s="27">
        <v>150000</v>
      </c>
      <c r="D93" s="27"/>
      <c r="E93" s="27">
        <v>100000</v>
      </c>
      <c r="F93" s="13"/>
      <c r="G93" s="13">
        <f t="shared" si="4"/>
        <v>250000</v>
      </c>
      <c r="H93" s="27"/>
      <c r="J93" s="68"/>
    </row>
    <row r="94" spans="1:10" s="42" customFormat="1" ht="15.75">
      <c r="A94" s="4" t="s">
        <v>104</v>
      </c>
      <c r="B94" s="4" t="s">
        <v>105</v>
      </c>
      <c r="C94" s="27">
        <v>300000</v>
      </c>
      <c r="D94" s="27"/>
      <c r="E94" s="27">
        <v>1800000</v>
      </c>
      <c r="F94" s="13"/>
      <c r="G94" s="13">
        <f t="shared" si="4"/>
        <v>2100000</v>
      </c>
      <c r="H94" s="27"/>
      <c r="J94" s="68"/>
    </row>
    <row r="95" spans="1:10" s="42" customFormat="1" ht="15.75">
      <c r="A95" s="4" t="s">
        <v>243</v>
      </c>
      <c r="B95" s="4" t="s">
        <v>244</v>
      </c>
      <c r="C95" s="27">
        <v>500000</v>
      </c>
      <c r="D95" s="27"/>
      <c r="E95" s="27">
        <v>1750000</v>
      </c>
      <c r="F95" s="13"/>
      <c r="G95" s="13">
        <f t="shared" si="4"/>
        <v>2250000</v>
      </c>
      <c r="H95" s="27"/>
      <c r="J95" s="68"/>
    </row>
    <row r="96" spans="1:10" s="5" customFormat="1" ht="15.75">
      <c r="A96" s="8" t="s">
        <v>155</v>
      </c>
      <c r="B96" s="6" t="s">
        <v>106</v>
      </c>
      <c r="C96" s="17">
        <f>SUM(C97:C98)</f>
        <v>2500000</v>
      </c>
      <c r="D96" s="17">
        <f>SUM(D97:D98)</f>
        <v>0</v>
      </c>
      <c r="E96" s="17">
        <f>SUM(E97:E98)</f>
        <v>28306757</v>
      </c>
      <c r="F96" s="17">
        <f>SUM(F97:F98)</f>
        <v>0</v>
      </c>
      <c r="G96" s="29">
        <f>SUM(C96:F96)</f>
        <v>30806757</v>
      </c>
      <c r="H96" s="17">
        <f>SUM(H97:H98)</f>
        <v>0</v>
      </c>
      <c r="J96" s="68"/>
    </row>
    <row r="97" spans="1:10" s="5" customFormat="1" ht="15.75">
      <c r="A97" s="4" t="s">
        <v>107</v>
      </c>
      <c r="B97" s="4" t="s">
        <v>108</v>
      </c>
      <c r="C97" s="27">
        <v>500000</v>
      </c>
      <c r="D97" s="17"/>
      <c r="E97" s="27">
        <v>1000000</v>
      </c>
      <c r="F97" s="27">
        <f>200000-200000</f>
        <v>0</v>
      </c>
      <c r="G97" s="13">
        <f>SUM(C97:F97)</f>
        <v>1500000</v>
      </c>
      <c r="H97" s="27"/>
      <c r="J97" s="68"/>
    </row>
    <row r="98" spans="1:10" s="42" customFormat="1" ht="15.75">
      <c r="A98" s="4" t="s">
        <v>109</v>
      </c>
      <c r="B98" s="4" t="s">
        <v>110</v>
      </c>
      <c r="C98" s="27">
        <v>2000000</v>
      </c>
      <c r="D98" s="27">
        <f>2500000-2500000</f>
        <v>0</v>
      </c>
      <c r="E98" s="27">
        <v>27306757</v>
      </c>
      <c r="F98" s="27"/>
      <c r="G98" s="13">
        <f>SUM(C98:F98)</f>
        <v>29306757</v>
      </c>
      <c r="H98" s="27"/>
      <c r="J98" s="68"/>
    </row>
    <row r="99" spans="1:10" s="5" customFormat="1" ht="15.75">
      <c r="A99" s="8" t="s">
        <v>156</v>
      </c>
      <c r="B99" s="6" t="s">
        <v>111</v>
      </c>
      <c r="C99" s="17">
        <f>SUM(C100:C107)</f>
        <v>10766869</v>
      </c>
      <c r="D99" s="17">
        <f>SUM(D100:D107)</f>
        <v>1727489</v>
      </c>
      <c r="E99" s="17">
        <f>SUM(E100:E107)</f>
        <v>30019020</v>
      </c>
      <c r="F99" s="17">
        <f>SUM(F100:F107)</f>
        <v>0</v>
      </c>
      <c r="G99" s="29">
        <f>SUM(C99:F99)</f>
        <v>42513378</v>
      </c>
      <c r="H99" s="17">
        <f>SUM(H100:H107)</f>
        <v>0</v>
      </c>
      <c r="J99" s="68"/>
    </row>
    <row r="100" spans="1:10" s="42" customFormat="1" ht="15.75">
      <c r="A100" s="4" t="s">
        <v>113</v>
      </c>
      <c r="B100" s="4" t="s">
        <v>112</v>
      </c>
      <c r="C100" s="27">
        <f>2000000+500000</f>
        <v>2500000</v>
      </c>
      <c r="D100" s="27">
        <v>627489</v>
      </c>
      <c r="E100" s="27">
        <v>7379725</v>
      </c>
      <c r="F100" s="27"/>
      <c r="G100" s="13">
        <f>SUM(C100:F100)</f>
        <v>10507214</v>
      </c>
      <c r="H100" s="27"/>
      <c r="J100" s="68"/>
    </row>
    <row r="101" spans="1:10" s="42" customFormat="1" ht="15.75">
      <c r="A101" s="4" t="s">
        <v>114</v>
      </c>
      <c r="B101" s="4" t="s">
        <v>235</v>
      </c>
      <c r="C101" s="27">
        <f>1000000+1000000</f>
        <v>2000000</v>
      </c>
      <c r="D101" s="27"/>
      <c r="E101" s="27"/>
      <c r="F101" s="27"/>
      <c r="G101" s="13">
        <f aca="true" t="shared" si="5" ref="G101:G107">SUM(C101:F101)</f>
        <v>2000000</v>
      </c>
      <c r="H101" s="27"/>
      <c r="J101" s="68"/>
    </row>
    <row r="102" spans="1:10" s="42" customFormat="1" ht="15.75">
      <c r="A102" s="4" t="s">
        <v>115</v>
      </c>
      <c r="B102" s="4" t="s">
        <v>116</v>
      </c>
      <c r="C102" s="27">
        <v>4000000</v>
      </c>
      <c r="D102" s="27">
        <v>1100000</v>
      </c>
      <c r="E102" s="27">
        <v>12424267</v>
      </c>
      <c r="F102" s="27"/>
      <c r="G102" s="13">
        <f t="shared" si="5"/>
        <v>17524267</v>
      </c>
      <c r="H102" s="27"/>
      <c r="J102" s="68"/>
    </row>
    <row r="103" spans="1:10" s="42" customFormat="1" ht="15.75">
      <c r="A103" s="4" t="s">
        <v>117</v>
      </c>
      <c r="B103" s="4" t="s">
        <v>118</v>
      </c>
      <c r="C103" s="27">
        <v>500000</v>
      </c>
      <c r="D103" s="27"/>
      <c r="E103" s="27">
        <v>3928000</v>
      </c>
      <c r="F103" s="27">
        <f>50000-50000</f>
        <v>0</v>
      </c>
      <c r="G103" s="13">
        <f t="shared" si="5"/>
        <v>4428000</v>
      </c>
      <c r="H103" s="27"/>
      <c r="J103" s="68"/>
    </row>
    <row r="104" spans="1:10" s="42" customFormat="1" ht="15.75">
      <c r="A104" s="4" t="s">
        <v>119</v>
      </c>
      <c r="B104" s="4" t="s">
        <v>7</v>
      </c>
      <c r="C104" s="27">
        <f>500000+1818434-2000000</f>
        <v>318434</v>
      </c>
      <c r="D104" s="27"/>
      <c r="E104" s="27">
        <v>4387028</v>
      </c>
      <c r="F104" s="27">
        <f>20000-20000</f>
        <v>0</v>
      </c>
      <c r="G104" s="13">
        <f t="shared" si="5"/>
        <v>4705462</v>
      </c>
      <c r="H104" s="27"/>
      <c r="J104" s="68"/>
    </row>
    <row r="105" spans="1:10" s="42" customFormat="1" ht="15.75">
      <c r="A105" s="4" t="s">
        <v>175</v>
      </c>
      <c r="B105" s="4" t="s">
        <v>176</v>
      </c>
      <c r="C105" s="27">
        <f>500000+1818435-2000000</f>
        <v>318435</v>
      </c>
      <c r="D105" s="27"/>
      <c r="E105" s="27">
        <v>100000</v>
      </c>
      <c r="F105" s="27"/>
      <c r="G105" s="13">
        <f t="shared" si="5"/>
        <v>418435</v>
      </c>
      <c r="H105" s="27"/>
      <c r="J105" s="68"/>
    </row>
    <row r="106" spans="1:10" s="42" customFormat="1" ht="15.75">
      <c r="A106" s="4" t="s">
        <v>120</v>
      </c>
      <c r="B106" s="4" t="s">
        <v>123</v>
      </c>
      <c r="C106" s="27">
        <f>250000+380000-500000</f>
        <v>130000</v>
      </c>
      <c r="D106" s="27"/>
      <c r="E106" s="27">
        <v>450000</v>
      </c>
      <c r="F106" s="27"/>
      <c r="G106" s="13">
        <f t="shared" si="5"/>
        <v>580000</v>
      </c>
      <c r="H106" s="27"/>
      <c r="J106" s="68"/>
    </row>
    <row r="107" spans="1:10" s="42" customFormat="1" ht="15.75">
      <c r="A107" s="4" t="s">
        <v>121</v>
      </c>
      <c r="B107" s="4" t="s">
        <v>122</v>
      </c>
      <c r="C107" s="27">
        <v>1000000</v>
      </c>
      <c r="D107" s="27"/>
      <c r="E107" s="27">
        <v>1350000</v>
      </c>
      <c r="F107" s="27">
        <f>295000-295000</f>
        <v>0</v>
      </c>
      <c r="G107" s="13">
        <f t="shared" si="5"/>
        <v>2350000</v>
      </c>
      <c r="H107" s="27"/>
      <c r="J107" s="68"/>
    </row>
    <row r="108" spans="1:10" s="42" customFormat="1" ht="15.75">
      <c r="A108" s="4"/>
      <c r="B108" s="4"/>
      <c r="C108" s="27"/>
      <c r="D108" s="27"/>
      <c r="E108" s="27"/>
      <c r="F108" s="27"/>
      <c r="G108" s="18"/>
      <c r="H108" s="27"/>
      <c r="J108" s="68"/>
    </row>
    <row r="109" spans="1:10" s="9" customFormat="1" ht="15.75">
      <c r="A109" s="19">
        <v>5</v>
      </c>
      <c r="B109" s="12" t="s">
        <v>124</v>
      </c>
      <c r="C109" s="28">
        <f>SUM(C110,C119)</f>
        <v>43500000</v>
      </c>
      <c r="D109" s="28">
        <f>SUM(D110,D119)</f>
        <v>1000000</v>
      </c>
      <c r="E109" s="28">
        <f>SUM(E110,E119)</f>
        <v>205506449</v>
      </c>
      <c r="F109" s="28">
        <f>SUM(F110,F119)</f>
        <v>0</v>
      </c>
      <c r="G109" s="18">
        <f>SUM(C109:F109)</f>
        <v>250006449</v>
      </c>
      <c r="H109" s="28">
        <f>SUM(H110,H119)</f>
        <v>0</v>
      </c>
      <c r="J109" s="68"/>
    </row>
    <row r="110" spans="1:10" s="5" customFormat="1" ht="15.75">
      <c r="A110" s="8" t="s">
        <v>257</v>
      </c>
      <c r="B110" s="6" t="s">
        <v>252</v>
      </c>
      <c r="C110" s="17">
        <f>SUM(C111:C118)</f>
        <v>43500000</v>
      </c>
      <c r="D110" s="17">
        <f>SUM(D111:D118)</f>
        <v>1000000</v>
      </c>
      <c r="E110" s="17">
        <f>SUM(E111:E118)</f>
        <v>155506449</v>
      </c>
      <c r="F110" s="17">
        <f>SUM(F111:F118)</f>
        <v>0</v>
      </c>
      <c r="G110" s="29">
        <f>SUM(C110:F110)</f>
        <v>200006449</v>
      </c>
      <c r="H110" s="17">
        <f>SUM(H111:H118)</f>
        <v>0</v>
      </c>
      <c r="J110" s="68"/>
    </row>
    <row r="111" spans="1:10" s="42" customFormat="1" ht="15.75">
      <c r="A111" s="7" t="s">
        <v>222</v>
      </c>
      <c r="B111" s="4" t="s">
        <v>223</v>
      </c>
      <c r="C111" s="27">
        <v>5000000</v>
      </c>
      <c r="D111" s="27"/>
      <c r="E111" s="27">
        <v>1050000</v>
      </c>
      <c r="F111" s="27"/>
      <c r="G111" s="13">
        <f>SUM(C111,D111,E111,F111)</f>
        <v>6050000</v>
      </c>
      <c r="H111" s="27"/>
      <c r="J111" s="68"/>
    </row>
    <row r="112" spans="1:10" s="42" customFormat="1" ht="15.75">
      <c r="A112" s="7" t="s">
        <v>245</v>
      </c>
      <c r="B112" s="4" t="s">
        <v>246</v>
      </c>
      <c r="C112" s="27"/>
      <c r="D112" s="27"/>
      <c r="E112" s="27">
        <f>20995*550.2</f>
        <v>11551449.000000002</v>
      </c>
      <c r="F112" s="27"/>
      <c r="G112" s="13">
        <f>SUM(C112,D112,E112,F112)</f>
        <v>11551449.000000002</v>
      </c>
      <c r="H112" s="27"/>
      <c r="J112" s="68"/>
    </row>
    <row r="113" spans="1:10" s="42" customFormat="1" ht="15.75">
      <c r="A113" s="4" t="s">
        <v>125</v>
      </c>
      <c r="B113" s="4" t="s">
        <v>126</v>
      </c>
      <c r="C113" s="27">
        <v>5000000</v>
      </c>
      <c r="D113" s="30"/>
      <c r="E113" s="13">
        <v>9800000</v>
      </c>
      <c r="F113" s="13"/>
      <c r="G113" s="13">
        <f aca="true" t="shared" si="6" ref="G113:G120">SUM(C113:F113)</f>
        <v>14800000</v>
      </c>
      <c r="H113" s="13"/>
      <c r="J113" s="68"/>
    </row>
    <row r="114" spans="1:10" s="42" customFormat="1" ht="15.75">
      <c r="A114" s="4" t="s">
        <v>127</v>
      </c>
      <c r="B114" s="4" t="s">
        <v>128</v>
      </c>
      <c r="C114" s="27">
        <v>3000000</v>
      </c>
      <c r="D114" s="27">
        <f>3500000-3500000</f>
        <v>0</v>
      </c>
      <c r="E114" s="13">
        <v>28355000</v>
      </c>
      <c r="F114" s="13"/>
      <c r="G114" s="13">
        <f t="shared" si="6"/>
        <v>31355000</v>
      </c>
      <c r="H114" s="13"/>
      <c r="J114" s="68"/>
    </row>
    <row r="115" spans="1:10" s="42" customFormat="1" ht="15.75">
      <c r="A115" s="4" t="s">
        <v>247</v>
      </c>
      <c r="B115" s="4" t="s">
        <v>248</v>
      </c>
      <c r="C115" s="13">
        <v>30000000</v>
      </c>
      <c r="D115" s="27">
        <v>1000000</v>
      </c>
      <c r="E115" s="13">
        <v>100000000</v>
      </c>
      <c r="F115" s="13"/>
      <c r="G115" s="13">
        <f t="shared" si="6"/>
        <v>131000000</v>
      </c>
      <c r="H115" s="13"/>
      <c r="J115" s="68"/>
    </row>
    <row r="116" spans="1:10" s="42" customFormat="1" ht="15.75" hidden="1">
      <c r="A116" s="4" t="s">
        <v>253</v>
      </c>
      <c r="B116" s="4" t="s">
        <v>254</v>
      </c>
      <c r="C116" s="13"/>
      <c r="D116" s="27"/>
      <c r="E116" s="13"/>
      <c r="F116" s="13"/>
      <c r="G116" s="13">
        <f t="shared" si="6"/>
        <v>0</v>
      </c>
      <c r="H116" s="13"/>
      <c r="J116" s="68"/>
    </row>
    <row r="117" spans="1:10" s="42" customFormat="1" ht="15.75" hidden="1">
      <c r="A117" s="4" t="s">
        <v>255</v>
      </c>
      <c r="B117" s="4" t="s">
        <v>256</v>
      </c>
      <c r="C117" s="13"/>
      <c r="D117" s="27"/>
      <c r="E117" s="13"/>
      <c r="F117" s="13"/>
      <c r="G117" s="13">
        <f t="shared" si="6"/>
        <v>0</v>
      </c>
      <c r="H117" s="13"/>
      <c r="J117" s="68"/>
    </row>
    <row r="118" spans="1:10" s="42" customFormat="1" ht="15.75">
      <c r="A118" s="4" t="s">
        <v>129</v>
      </c>
      <c r="B118" s="4" t="s">
        <v>130</v>
      </c>
      <c r="C118" s="27">
        <v>500000</v>
      </c>
      <c r="D118" s="27"/>
      <c r="E118" s="13">
        <v>4750000</v>
      </c>
      <c r="F118" s="13"/>
      <c r="G118" s="13">
        <f t="shared" si="6"/>
        <v>5250000</v>
      </c>
      <c r="H118" s="13"/>
      <c r="J118" s="68"/>
    </row>
    <row r="119" spans="1:10" s="5" customFormat="1" ht="15.75">
      <c r="A119" s="8" t="s">
        <v>262</v>
      </c>
      <c r="B119" s="6" t="s">
        <v>205</v>
      </c>
      <c r="C119" s="17">
        <f>SUM(C120)</f>
        <v>0</v>
      </c>
      <c r="D119" s="17">
        <f>SUM(D120)</f>
        <v>0</v>
      </c>
      <c r="E119" s="17">
        <f>SUM(E120)</f>
        <v>50000000</v>
      </c>
      <c r="F119" s="17">
        <f>SUM(F120)</f>
        <v>0</v>
      </c>
      <c r="G119" s="29">
        <f t="shared" si="6"/>
        <v>50000000</v>
      </c>
      <c r="H119" s="17">
        <f>SUM(H120)</f>
        <v>0</v>
      </c>
      <c r="J119" s="68"/>
    </row>
    <row r="120" spans="1:10" s="42" customFormat="1" ht="15.75">
      <c r="A120" s="7" t="s">
        <v>268</v>
      </c>
      <c r="B120" s="4" t="s">
        <v>269</v>
      </c>
      <c r="C120" s="27"/>
      <c r="D120" s="27"/>
      <c r="E120" s="27">
        <v>50000000</v>
      </c>
      <c r="F120" s="43"/>
      <c r="G120" s="13">
        <f t="shared" si="6"/>
        <v>50000000</v>
      </c>
      <c r="H120" s="27"/>
      <c r="J120" s="68"/>
    </row>
    <row r="121" spans="1:10" s="42" customFormat="1" ht="15.75">
      <c r="A121" s="7"/>
      <c r="B121" s="4"/>
      <c r="C121" s="27"/>
      <c r="D121" s="27"/>
      <c r="E121" s="27"/>
      <c r="F121" s="27"/>
      <c r="G121" s="18"/>
      <c r="H121" s="27"/>
      <c r="J121" s="68"/>
    </row>
    <row r="122" spans="1:10" s="9" customFormat="1" ht="15.75">
      <c r="A122" s="19">
        <v>6</v>
      </c>
      <c r="B122" s="12" t="s">
        <v>11</v>
      </c>
      <c r="C122" s="28">
        <f>SUM(C123,C140,C142,C147,C149,)</f>
        <v>16312971043.996845</v>
      </c>
      <c r="D122" s="28">
        <f>SUM(D123,D140,D142,D147,D149)</f>
        <v>18267925</v>
      </c>
      <c r="E122" s="28">
        <f>SUM(E123,E140,E142,E147,E149)</f>
        <v>204870111</v>
      </c>
      <c r="F122" s="28">
        <f>SUM(F123,F140,F142,F147,F149)</f>
        <v>0</v>
      </c>
      <c r="G122" s="18">
        <f>SUM(C122:F122)</f>
        <v>16536109079.996845</v>
      </c>
      <c r="H122" s="28">
        <f>SUM(H123,H140,H142,H147,H149,)</f>
        <v>4118000000</v>
      </c>
      <c r="J122" s="68"/>
    </row>
    <row r="123" spans="1:10" s="5" customFormat="1" ht="15.75">
      <c r="A123" s="8" t="s">
        <v>143</v>
      </c>
      <c r="B123" s="6" t="s">
        <v>132</v>
      </c>
      <c r="C123" s="17">
        <f>SUM(C124,C129,C138)</f>
        <v>15582265125</v>
      </c>
      <c r="D123" s="17">
        <f>SUM(D124,D129,D138)</f>
        <v>6267925</v>
      </c>
      <c r="E123" s="17">
        <f>SUM(E124,E129,E138)</f>
        <v>169870111</v>
      </c>
      <c r="F123" s="17">
        <f>SUM(F124,F129,F138)</f>
        <v>0</v>
      </c>
      <c r="G123" s="29">
        <f>SUM(C123:F123)</f>
        <v>15758403161</v>
      </c>
      <c r="H123" s="17">
        <f>SUM(H124,H129,H138)</f>
        <v>4118000000</v>
      </c>
      <c r="J123" s="68"/>
    </row>
    <row r="124" spans="1:10" s="5" customFormat="1" ht="15.75">
      <c r="A124" s="12" t="s">
        <v>187</v>
      </c>
      <c r="B124" s="12" t="s">
        <v>188</v>
      </c>
      <c r="C124" s="28">
        <f>SUM(C125:C128)</f>
        <v>8473991828</v>
      </c>
      <c r="D124" s="28">
        <f>SUM(D125:D128)</f>
        <v>0</v>
      </c>
      <c r="E124" s="28">
        <f>SUM(E125:E128)</f>
        <v>0</v>
      </c>
      <c r="F124" s="28">
        <f>SUM(F125:F128)</f>
        <v>0</v>
      </c>
      <c r="G124" s="18">
        <f>SUM(C124:F124)</f>
        <v>8473991828</v>
      </c>
      <c r="H124" s="28">
        <f>SUM(H125:H128)</f>
        <v>200000000</v>
      </c>
      <c r="J124" s="68"/>
    </row>
    <row r="125" spans="1:10" s="5" customFormat="1" ht="15.75">
      <c r="A125" s="4" t="s">
        <v>214</v>
      </c>
      <c r="B125" s="4" t="s">
        <v>215</v>
      </c>
      <c r="C125" s="27">
        <v>571991828</v>
      </c>
      <c r="D125" s="27"/>
      <c r="E125" s="17"/>
      <c r="F125" s="29"/>
      <c r="G125" s="13">
        <f>SUM(C125,D125,E125,F125)</f>
        <v>571991828</v>
      </c>
      <c r="H125" s="27">
        <v>200000000</v>
      </c>
      <c r="J125" s="68"/>
    </row>
    <row r="126" spans="1:10" s="9" customFormat="1" ht="15.75">
      <c r="A126" s="4" t="s">
        <v>216</v>
      </c>
      <c r="B126" s="4" t="s">
        <v>275</v>
      </c>
      <c r="C126" s="27">
        <v>7761000000</v>
      </c>
      <c r="D126" s="27"/>
      <c r="E126" s="28"/>
      <c r="F126" s="18"/>
      <c r="G126" s="13">
        <f>SUM(C126:F126)</f>
        <v>7761000000</v>
      </c>
      <c r="H126" s="28"/>
      <c r="J126" s="68"/>
    </row>
    <row r="127" spans="1:10" s="9" customFormat="1" ht="15.75">
      <c r="A127" s="4" t="s">
        <v>300</v>
      </c>
      <c r="B127" s="4" t="s">
        <v>275</v>
      </c>
      <c r="C127" s="27">
        <v>81000000</v>
      </c>
      <c r="D127" s="27"/>
      <c r="E127" s="28"/>
      <c r="F127" s="18"/>
      <c r="G127" s="13">
        <f>SUM(C127:F127)</f>
        <v>81000000</v>
      </c>
      <c r="H127" s="28"/>
      <c r="J127" s="68"/>
    </row>
    <row r="128" spans="1:10" s="9" customFormat="1" ht="15.75">
      <c r="A128" s="4" t="s">
        <v>229</v>
      </c>
      <c r="B128" s="4" t="s">
        <v>249</v>
      </c>
      <c r="C128" s="27">
        <v>60000000</v>
      </c>
      <c r="D128" s="27"/>
      <c r="E128" s="28"/>
      <c r="F128" s="18"/>
      <c r="G128" s="13">
        <f>SUM(C128,D128,E128,F128)</f>
        <v>60000000</v>
      </c>
      <c r="H128" s="28"/>
      <c r="J128" s="68"/>
    </row>
    <row r="129" spans="1:10" s="9" customFormat="1" ht="15.75">
      <c r="A129" s="12" t="s">
        <v>131</v>
      </c>
      <c r="B129" s="12" t="s">
        <v>133</v>
      </c>
      <c r="C129" s="28">
        <f>SUM(C130:C136)</f>
        <v>6908273297</v>
      </c>
      <c r="D129" s="28">
        <f>SUM(D130:D136)</f>
        <v>6267925</v>
      </c>
      <c r="E129" s="28">
        <f>SUM(E130:E137)</f>
        <v>169870111</v>
      </c>
      <c r="F129" s="28">
        <f>SUM(F130:F136)</f>
        <v>0</v>
      </c>
      <c r="G129" s="18">
        <f aca="true" t="shared" si="7" ref="G129:G147">SUM(C129:F129)</f>
        <v>7084411333</v>
      </c>
      <c r="H129" s="28">
        <f>SUM(H130:H135)</f>
        <v>1668000000</v>
      </c>
      <c r="J129" s="68"/>
    </row>
    <row r="130" spans="1:10" s="23" customFormat="1" ht="15.75">
      <c r="A130" s="4" t="s">
        <v>217</v>
      </c>
      <c r="B130" s="4" t="s">
        <v>199</v>
      </c>
      <c r="C130" s="27">
        <v>33174111</v>
      </c>
      <c r="D130" s="27">
        <v>4379996</v>
      </c>
      <c r="E130" s="27">
        <v>48824897</v>
      </c>
      <c r="F130" s="63"/>
      <c r="G130" s="13">
        <f t="shared" si="7"/>
        <v>86379004</v>
      </c>
      <c r="H130" s="27"/>
      <c r="J130" s="72"/>
    </row>
    <row r="131" spans="1:10" s="23" customFormat="1" ht="15.75">
      <c r="A131" s="4" t="s">
        <v>218</v>
      </c>
      <c r="B131" s="4" t="s">
        <v>200</v>
      </c>
      <c r="C131" s="27">
        <v>14299186</v>
      </c>
      <c r="D131" s="27">
        <v>1887929</v>
      </c>
      <c r="E131" s="27">
        <v>21045214</v>
      </c>
      <c r="F131" s="63"/>
      <c r="G131" s="13">
        <f t="shared" si="7"/>
        <v>37232329</v>
      </c>
      <c r="H131" s="27"/>
      <c r="J131" s="72"/>
    </row>
    <row r="132" spans="1:10" s="23" customFormat="1" ht="15.75">
      <c r="A132" s="4" t="s">
        <v>285</v>
      </c>
      <c r="B132" s="4" t="s">
        <v>286</v>
      </c>
      <c r="C132" s="27">
        <v>332300000</v>
      </c>
      <c r="D132" s="27"/>
      <c r="E132" s="27"/>
      <c r="F132" s="63"/>
      <c r="G132" s="13">
        <f t="shared" si="7"/>
        <v>332300000</v>
      </c>
      <c r="H132" s="27"/>
      <c r="J132" s="72"/>
    </row>
    <row r="133" spans="1:10" s="23" customFormat="1" ht="15.75">
      <c r="A133" s="4" t="s">
        <v>232</v>
      </c>
      <c r="B133" s="4" t="s">
        <v>236</v>
      </c>
      <c r="C133" s="27">
        <f>15500000</f>
        <v>15500000</v>
      </c>
      <c r="D133" s="27"/>
      <c r="E133" s="27"/>
      <c r="F133" s="63"/>
      <c r="G133" s="13">
        <f t="shared" si="7"/>
        <v>15500000</v>
      </c>
      <c r="H133" s="27"/>
      <c r="J133" s="72"/>
    </row>
    <row r="134" spans="1:10" s="42" customFormat="1" ht="15.75">
      <c r="A134" s="7" t="s">
        <v>201</v>
      </c>
      <c r="B134" s="4" t="s">
        <v>202</v>
      </c>
      <c r="C134" s="27">
        <f>2198000000+450000000-348000000</f>
        <v>2300000000</v>
      </c>
      <c r="D134" s="27"/>
      <c r="E134" s="27"/>
      <c r="F134" s="13"/>
      <c r="G134" s="13">
        <f t="shared" si="7"/>
        <v>2300000000</v>
      </c>
      <c r="H134" s="27">
        <v>57000000</v>
      </c>
      <c r="J134" s="68"/>
    </row>
    <row r="135" spans="1:10" s="42" customFormat="1" ht="15.75">
      <c r="A135" s="7" t="s">
        <v>203</v>
      </c>
      <c r="B135" s="4" t="s">
        <v>204</v>
      </c>
      <c r="C135" s="27">
        <v>3913000000</v>
      </c>
      <c r="D135" s="27"/>
      <c r="E135" s="27"/>
      <c r="F135" s="13"/>
      <c r="G135" s="13">
        <f t="shared" si="7"/>
        <v>3913000000</v>
      </c>
      <c r="H135" s="27">
        <v>1611000000</v>
      </c>
      <c r="J135" s="68"/>
    </row>
    <row r="136" spans="1:10" s="9" customFormat="1" ht="15.75">
      <c r="A136" s="7" t="s">
        <v>296</v>
      </c>
      <c r="B136" s="4" t="s">
        <v>220</v>
      </c>
      <c r="C136" s="27">
        <f>378000000-78000000</f>
        <v>300000000</v>
      </c>
      <c r="D136" s="27"/>
      <c r="E136" s="28"/>
      <c r="F136" s="18"/>
      <c r="G136" s="13">
        <f>SUM(C136,D136,E136,F136)</f>
        <v>300000000</v>
      </c>
      <c r="H136" s="28"/>
      <c r="J136" s="68"/>
    </row>
    <row r="137" spans="1:10" s="9" customFormat="1" ht="15.75">
      <c r="A137" s="7" t="s">
        <v>302</v>
      </c>
      <c r="B137" s="4" t="s">
        <v>293</v>
      </c>
      <c r="C137" s="27"/>
      <c r="D137" s="27"/>
      <c r="E137" s="27">
        <v>100000000</v>
      </c>
      <c r="F137" s="18"/>
      <c r="G137" s="13">
        <f>SUM(C137,D137,E137,F137)</f>
        <v>100000000</v>
      </c>
      <c r="H137" s="28"/>
      <c r="J137" s="68"/>
    </row>
    <row r="138" spans="1:10" s="9" customFormat="1" ht="15.75">
      <c r="A138" s="19" t="s">
        <v>281</v>
      </c>
      <c r="B138" s="12" t="s">
        <v>282</v>
      </c>
      <c r="C138" s="28">
        <f aca="true" t="shared" si="8" ref="C138:H138">SUM(C139)</f>
        <v>200000000</v>
      </c>
      <c r="D138" s="28">
        <f t="shared" si="8"/>
        <v>0</v>
      </c>
      <c r="E138" s="28">
        <f t="shared" si="8"/>
        <v>0</v>
      </c>
      <c r="F138" s="28">
        <f t="shared" si="8"/>
        <v>0</v>
      </c>
      <c r="G138" s="28">
        <f t="shared" si="8"/>
        <v>200000000</v>
      </c>
      <c r="H138" s="28">
        <f t="shared" si="8"/>
        <v>2250000000</v>
      </c>
      <c r="J138" s="68"/>
    </row>
    <row r="139" spans="1:10" s="42" customFormat="1" ht="15.75">
      <c r="A139" s="7" t="s">
        <v>283</v>
      </c>
      <c r="B139" s="4" t="s">
        <v>284</v>
      </c>
      <c r="C139" s="27">
        <v>200000000</v>
      </c>
      <c r="D139" s="27"/>
      <c r="E139" s="27"/>
      <c r="F139" s="13"/>
      <c r="G139" s="13">
        <f t="shared" si="7"/>
        <v>200000000</v>
      </c>
      <c r="H139" s="27">
        <v>2250000000</v>
      </c>
      <c r="J139" s="68"/>
    </row>
    <row r="140" spans="1:10" s="5" customFormat="1" ht="15.75">
      <c r="A140" s="8" t="s">
        <v>142</v>
      </c>
      <c r="B140" s="6" t="s">
        <v>134</v>
      </c>
      <c r="C140" s="17">
        <f>SUM(C141)</f>
        <v>6895000</v>
      </c>
      <c r="D140" s="17">
        <f>SUM(D141)</f>
        <v>0</v>
      </c>
      <c r="E140" s="17">
        <f>SUM(E141)</f>
        <v>0</v>
      </c>
      <c r="F140" s="17">
        <f>SUM(F141)</f>
        <v>0</v>
      </c>
      <c r="G140" s="29">
        <f t="shared" si="7"/>
        <v>6895000</v>
      </c>
      <c r="H140" s="17">
        <f>SUM(H141)</f>
        <v>0</v>
      </c>
      <c r="J140" s="68"/>
    </row>
    <row r="141" spans="1:10" s="42" customFormat="1" ht="15.75">
      <c r="A141" s="4" t="s">
        <v>135</v>
      </c>
      <c r="B141" s="4" t="s">
        <v>274</v>
      </c>
      <c r="C141" s="27">
        <f>12275000-5380000</f>
        <v>6895000</v>
      </c>
      <c r="D141" s="27"/>
      <c r="E141" s="27"/>
      <c r="F141" s="13"/>
      <c r="G141" s="13">
        <f t="shared" si="7"/>
        <v>6895000</v>
      </c>
      <c r="H141" s="27"/>
      <c r="J141" s="68"/>
    </row>
    <row r="142" spans="1:10" s="5" customFormat="1" ht="15.75">
      <c r="A142" s="8" t="s">
        <v>141</v>
      </c>
      <c r="B142" s="6" t="s">
        <v>136</v>
      </c>
      <c r="C142" s="17">
        <f>SUM(C143:C144)</f>
        <v>233723502</v>
      </c>
      <c r="D142" s="17">
        <f>SUM(D143:D144)</f>
        <v>12000000</v>
      </c>
      <c r="E142" s="17">
        <f>SUM(E143:E144)</f>
        <v>35000000</v>
      </c>
      <c r="F142" s="17">
        <f>SUM(F143:F144)</f>
        <v>0</v>
      </c>
      <c r="G142" s="29">
        <f t="shared" si="7"/>
        <v>280723502</v>
      </c>
      <c r="H142" s="17">
        <f>SUM(H143:H144)</f>
        <v>0</v>
      </c>
      <c r="J142" s="68"/>
    </row>
    <row r="143" spans="1:10" s="42" customFormat="1" ht="15.75">
      <c r="A143" s="4" t="s">
        <v>137</v>
      </c>
      <c r="B143" s="4" t="s">
        <v>8</v>
      </c>
      <c r="C143" s="27">
        <v>203723502</v>
      </c>
      <c r="D143" s="27"/>
      <c r="E143" s="27"/>
      <c r="F143" s="13"/>
      <c r="G143" s="13">
        <f t="shared" si="7"/>
        <v>203723502</v>
      </c>
      <c r="H143" s="27"/>
      <c r="J143" s="68"/>
    </row>
    <row r="144" spans="1:10" s="23" customFormat="1" ht="15.75">
      <c r="A144" s="4" t="s">
        <v>184</v>
      </c>
      <c r="B144" s="4" t="s">
        <v>272</v>
      </c>
      <c r="C144" s="27">
        <v>30000000</v>
      </c>
      <c r="D144" s="27">
        <v>12000000</v>
      </c>
      <c r="E144" s="27">
        <v>35000000</v>
      </c>
      <c r="F144" s="63"/>
      <c r="G144" s="13">
        <f t="shared" si="7"/>
        <v>77000000</v>
      </c>
      <c r="H144" s="27"/>
      <c r="J144" s="72"/>
    </row>
    <row r="145" spans="1:10" s="50" customFormat="1" ht="15.75" hidden="1">
      <c r="A145" s="8" t="s">
        <v>277</v>
      </c>
      <c r="B145" s="50" t="s">
        <v>280</v>
      </c>
      <c r="C145" s="17">
        <f>SUM(C146)</f>
        <v>0</v>
      </c>
      <c r="D145" s="17">
        <f>SUM(D146)</f>
        <v>0</v>
      </c>
      <c r="E145" s="17">
        <f>SUM(E146)</f>
        <v>0</v>
      </c>
      <c r="F145" s="17">
        <f>SUM(F146)</f>
        <v>0</v>
      </c>
      <c r="G145" s="29">
        <f t="shared" si="7"/>
        <v>0</v>
      </c>
      <c r="H145" s="17">
        <f>SUM(H146)</f>
        <v>0</v>
      </c>
      <c r="J145" s="72"/>
    </row>
    <row r="146" spans="1:10" s="23" customFormat="1" ht="15.75" hidden="1">
      <c r="A146" s="4" t="s">
        <v>278</v>
      </c>
      <c r="B146" s="49" t="s">
        <v>276</v>
      </c>
      <c r="C146" s="64"/>
      <c r="D146" s="27"/>
      <c r="E146" s="13"/>
      <c r="F146" s="63"/>
      <c r="G146" s="13">
        <f t="shared" si="7"/>
        <v>0</v>
      </c>
      <c r="H146" s="13"/>
      <c r="J146" s="72"/>
    </row>
    <row r="147" spans="1:10" s="5" customFormat="1" ht="15.75">
      <c r="A147" s="6" t="s">
        <v>180</v>
      </c>
      <c r="B147" s="6" t="s">
        <v>181</v>
      </c>
      <c r="C147" s="17">
        <f>SUM(C148)</f>
        <v>300000000</v>
      </c>
      <c r="D147" s="17">
        <f>SUM(D148)</f>
        <v>0</v>
      </c>
      <c r="E147" s="17">
        <f>SUM(E148)</f>
        <v>0</v>
      </c>
      <c r="F147" s="17">
        <f>SUM(F148)</f>
        <v>0</v>
      </c>
      <c r="G147" s="29">
        <f t="shared" si="7"/>
        <v>300000000</v>
      </c>
      <c r="H147" s="17">
        <f>SUM(H148)</f>
        <v>0</v>
      </c>
      <c r="J147" s="68"/>
    </row>
    <row r="148" spans="1:10" s="42" customFormat="1" ht="15.75">
      <c r="A148" s="4" t="s">
        <v>182</v>
      </c>
      <c r="B148" s="4" t="s">
        <v>183</v>
      </c>
      <c r="C148" s="27">
        <v>300000000</v>
      </c>
      <c r="D148" s="27"/>
      <c r="E148" s="27"/>
      <c r="F148" s="13"/>
      <c r="G148" s="13">
        <f>SUM(C149:F149)</f>
        <v>190087416.996845</v>
      </c>
      <c r="H148" s="27"/>
      <c r="J148" s="68"/>
    </row>
    <row r="149" spans="1:10" s="5" customFormat="1" ht="15.75">
      <c r="A149" s="6" t="s">
        <v>138</v>
      </c>
      <c r="B149" s="6" t="s">
        <v>139</v>
      </c>
      <c r="C149" s="17">
        <f>SUM(C150:C154)</f>
        <v>190087416.996845</v>
      </c>
      <c r="D149" s="17">
        <f>SUM(D150:D154)</f>
        <v>0</v>
      </c>
      <c r="E149" s="17">
        <f>SUM(E150:E154)</f>
        <v>0</v>
      </c>
      <c r="F149" s="17">
        <f>SUM(F150:F154)</f>
        <v>0</v>
      </c>
      <c r="G149" s="18">
        <f>SUM(C149,D149,E149,F149)</f>
        <v>190087416.996845</v>
      </c>
      <c r="H149" s="17">
        <f>SUM(H150:H154)</f>
        <v>0</v>
      </c>
      <c r="J149" s="68"/>
    </row>
    <row r="150" spans="1:10" s="42" customFormat="1" ht="15.75">
      <c r="A150" s="4" t="s">
        <v>190</v>
      </c>
      <c r="B150" s="7" t="s">
        <v>191</v>
      </c>
      <c r="C150" s="31">
        <f>178487.852975*550.2+(0.29)</f>
        <v>98204016.996845</v>
      </c>
      <c r="D150" s="13"/>
      <c r="E150" s="13"/>
      <c r="F150" s="13"/>
      <c r="G150" s="13">
        <f>SUM(C150:F150)</f>
        <v>98204016.996845</v>
      </c>
      <c r="H150" s="13"/>
      <c r="J150" s="68"/>
    </row>
    <row r="151" spans="1:10" s="42" customFormat="1" ht="15.75">
      <c r="A151" s="4" t="s">
        <v>192</v>
      </c>
      <c r="B151" s="4" t="s">
        <v>193</v>
      </c>
      <c r="C151" s="13">
        <f>50000*550.2</f>
        <v>27510000.000000004</v>
      </c>
      <c r="D151" s="27"/>
      <c r="E151" s="13"/>
      <c r="F151" s="13"/>
      <c r="G151" s="13">
        <f>SUM(C151:F151)</f>
        <v>27510000.000000004</v>
      </c>
      <c r="H151" s="13"/>
      <c r="J151" s="68"/>
    </row>
    <row r="152" spans="1:10" s="42" customFormat="1" ht="15.75">
      <c r="A152" s="4" t="s">
        <v>194</v>
      </c>
      <c r="B152" s="4" t="s">
        <v>267</v>
      </c>
      <c r="C152" s="13">
        <f>45000*550.2</f>
        <v>24759000.000000004</v>
      </c>
      <c r="D152" s="27"/>
      <c r="E152" s="13"/>
      <c r="F152" s="13"/>
      <c r="G152" s="13">
        <f>SUM(C152:F152)</f>
        <v>24759000.000000004</v>
      </c>
      <c r="H152" s="13"/>
      <c r="J152" s="68"/>
    </row>
    <row r="153" spans="1:10" s="42" customFormat="1" ht="15.75">
      <c r="A153" s="4" t="s">
        <v>195</v>
      </c>
      <c r="B153" s="4" t="s">
        <v>196</v>
      </c>
      <c r="C153" s="13">
        <f>69000*550.2</f>
        <v>37963800</v>
      </c>
      <c r="D153" s="27"/>
      <c r="E153" s="13"/>
      <c r="F153" s="13"/>
      <c r="G153" s="13">
        <f>SUM(C153:F153)</f>
        <v>37963800</v>
      </c>
      <c r="H153" s="13"/>
      <c r="J153" s="68"/>
    </row>
    <row r="154" spans="1:10" s="42" customFormat="1" ht="15.75">
      <c r="A154" s="4" t="s">
        <v>258</v>
      </c>
      <c r="B154" s="4" t="s">
        <v>259</v>
      </c>
      <c r="C154" s="13">
        <f>3000*550.2</f>
        <v>1650600.0000000002</v>
      </c>
      <c r="D154" s="27"/>
      <c r="E154" s="13"/>
      <c r="F154" s="13"/>
      <c r="G154" s="13">
        <f>SUM(C154:F154)</f>
        <v>1650600.0000000002</v>
      </c>
      <c r="H154" s="13"/>
      <c r="J154" s="68"/>
    </row>
    <row r="155" spans="1:10" s="42" customFormat="1" ht="15.75">
      <c r="A155" s="4"/>
      <c r="B155" s="4"/>
      <c r="C155" s="13"/>
      <c r="D155" s="27"/>
      <c r="E155" s="13"/>
      <c r="F155" s="13"/>
      <c r="G155" s="18"/>
      <c r="H155" s="13"/>
      <c r="J155" s="68"/>
    </row>
    <row r="156" spans="1:10" s="9" customFormat="1" ht="15.75">
      <c r="A156" s="19">
        <v>7</v>
      </c>
      <c r="B156" s="12" t="s">
        <v>140</v>
      </c>
      <c r="C156" s="28">
        <f>SUM(C157:C163)</f>
        <v>303100000</v>
      </c>
      <c r="D156" s="28">
        <f>SUM(D158:D163)</f>
        <v>0</v>
      </c>
      <c r="E156" s="28">
        <f>SUM(E158:E163)</f>
        <v>1762402350</v>
      </c>
      <c r="F156" s="28">
        <f>SUM(F158:F163)</f>
        <v>0</v>
      </c>
      <c r="G156" s="18">
        <f>SUM(C156,D156,E156,F156)</f>
        <v>2065502350</v>
      </c>
      <c r="H156" s="28">
        <f>SUM(H158:H163)</f>
        <v>2100000000</v>
      </c>
      <c r="J156" s="68"/>
    </row>
    <row r="157" spans="1:10" s="42" customFormat="1" ht="15.75">
      <c r="A157" s="7" t="s">
        <v>301</v>
      </c>
      <c r="B157" s="4" t="s">
        <v>294</v>
      </c>
      <c r="C157" s="27">
        <v>272000000</v>
      </c>
      <c r="D157" s="27"/>
      <c r="E157" s="27"/>
      <c r="F157" s="27"/>
      <c r="G157" s="13"/>
      <c r="H157" s="27"/>
      <c r="J157" s="68"/>
    </row>
    <row r="158" spans="1:10" s="9" customFormat="1" ht="15.75">
      <c r="A158" s="7" t="s">
        <v>250</v>
      </c>
      <c r="B158" s="4" t="s">
        <v>251</v>
      </c>
      <c r="C158" s="12"/>
      <c r="D158" s="27"/>
      <c r="E158" s="27">
        <v>462500000</v>
      </c>
      <c r="F158" s="18"/>
      <c r="G158" s="13">
        <f>SUM(E158:F158)</f>
        <v>462500000</v>
      </c>
      <c r="H158" s="27"/>
      <c r="J158" s="68"/>
    </row>
    <row r="159" spans="1:10" s="9" customFormat="1" ht="47.25">
      <c r="A159" s="57" t="s">
        <v>234</v>
      </c>
      <c r="B159" s="51" t="s">
        <v>270</v>
      </c>
      <c r="C159" s="12"/>
      <c r="D159" s="27"/>
      <c r="E159" s="58">
        <f>150000000+852000000+11087984+86814366</f>
        <v>1099902350</v>
      </c>
      <c r="F159" s="18"/>
      <c r="G159" s="59">
        <f>SUM(E159:F159)</f>
        <v>1099902350</v>
      </c>
      <c r="H159" s="58">
        <v>2100000000</v>
      </c>
      <c r="J159" s="68"/>
    </row>
    <row r="160" spans="1:10" s="9" customFormat="1" ht="15.75">
      <c r="A160" s="4" t="s">
        <v>197</v>
      </c>
      <c r="B160" s="4" t="s">
        <v>198</v>
      </c>
      <c r="C160" s="12"/>
      <c r="D160" s="27"/>
      <c r="E160" s="13">
        <v>200000000</v>
      </c>
      <c r="F160" s="18"/>
      <c r="G160" s="13">
        <f>SUM(E160:F160)</f>
        <v>200000000</v>
      </c>
      <c r="H160" s="13"/>
      <c r="J160" s="68"/>
    </row>
    <row r="161" spans="1:10" s="9" customFormat="1" ht="15.75" hidden="1">
      <c r="A161" s="4" t="s">
        <v>279</v>
      </c>
      <c r="B161" s="4" t="s">
        <v>276</v>
      </c>
      <c r="C161" s="12"/>
      <c r="D161" s="27"/>
      <c r="E161" s="13"/>
      <c r="F161" s="18"/>
      <c r="G161" s="13">
        <f>SUM(E161:F161)</f>
        <v>0</v>
      </c>
      <c r="H161" s="13"/>
      <c r="J161" s="68"/>
    </row>
    <row r="162" spans="1:10" s="9" customFormat="1" ht="15.75">
      <c r="A162" s="4" t="s">
        <v>219</v>
      </c>
      <c r="B162" s="4" t="s">
        <v>264</v>
      </c>
      <c r="C162" s="27">
        <v>23300000</v>
      </c>
      <c r="D162" s="27"/>
      <c r="E162" s="18"/>
      <c r="F162" s="18"/>
      <c r="G162" s="13">
        <f>SUM(C162,D162,E162,F162)</f>
        <v>23300000</v>
      </c>
      <c r="H162" s="18"/>
      <c r="J162" s="68"/>
    </row>
    <row r="163" spans="1:10" s="9" customFormat="1" ht="15.75">
      <c r="A163" s="4" t="s">
        <v>221</v>
      </c>
      <c r="B163" s="4" t="s">
        <v>265</v>
      </c>
      <c r="C163" s="27">
        <v>7800000</v>
      </c>
      <c r="D163" s="27"/>
      <c r="E163" s="18"/>
      <c r="F163" s="18"/>
      <c r="G163" s="13">
        <f>SUM(C163,D163,E163,F163)</f>
        <v>7800000</v>
      </c>
      <c r="H163" s="18"/>
      <c r="J163" s="68"/>
    </row>
    <row r="164" spans="1:10" s="9" customFormat="1" ht="15.75">
      <c r="A164" s="4"/>
      <c r="B164" s="4"/>
      <c r="C164" s="27"/>
      <c r="D164" s="27"/>
      <c r="E164" s="18"/>
      <c r="F164" s="18"/>
      <c r="G164" s="18"/>
      <c r="H164" s="18"/>
      <c r="J164" s="68"/>
    </row>
    <row r="165" spans="1:10" s="9" customFormat="1" ht="15.75">
      <c r="A165" s="12"/>
      <c r="B165" s="12" t="s">
        <v>9</v>
      </c>
      <c r="C165" s="18">
        <f>SUM(C156,C122,C109,C78,C29,C7)</f>
        <v>25244999999.996845</v>
      </c>
      <c r="D165" s="18">
        <f>SUM(D156,D122,D109,D78,D29,D7)</f>
        <v>1039000000</v>
      </c>
      <c r="E165" s="18">
        <f>SUM(E156,E122,E109,E78,E29,E7)</f>
        <v>14821000000</v>
      </c>
      <c r="F165" s="18">
        <f>SUM(F156,F122,F109,F78,F29,F7)</f>
        <v>108000000</v>
      </c>
      <c r="G165" s="18">
        <f>SUM(C165,D165,E165,F165)</f>
        <v>41212999999.99684</v>
      </c>
      <c r="H165" s="18">
        <f>SUM(H156,H122,H109,H78,H29,H7)</f>
        <v>6311000000</v>
      </c>
      <c r="J165" s="68"/>
    </row>
    <row r="166" spans="1:10" s="2" customFormat="1" ht="15.75">
      <c r="A166" s="20"/>
      <c r="B166" s="20"/>
      <c r="C166" s="21"/>
      <c r="D166" s="21"/>
      <c r="E166" s="21"/>
      <c r="F166" s="21"/>
      <c r="G166" s="21"/>
      <c r="J166" s="70"/>
    </row>
    <row r="167" spans="1:10" s="3" customFormat="1" ht="15.75">
      <c r="A167" s="15" t="s">
        <v>297</v>
      </c>
      <c r="B167" s="14"/>
      <c r="C167" s="33"/>
      <c r="D167" s="32"/>
      <c r="E167" s="32"/>
      <c r="F167" s="34"/>
      <c r="G167" s="35"/>
      <c r="J167" s="66"/>
    </row>
    <row r="168" spans="3:7" ht="18.75">
      <c r="C168" s="44"/>
      <c r="G168" s="36"/>
    </row>
    <row r="169" spans="1:2" ht="13.5">
      <c r="A169" s="23"/>
      <c r="B169" s="56"/>
    </row>
    <row r="170" ht="13.5">
      <c r="B170" s="56"/>
    </row>
    <row r="171" ht="13.5">
      <c r="B171" s="56"/>
    </row>
    <row r="172" spans="2:3" ht="13.5">
      <c r="B172" s="56"/>
      <c r="C172" s="73"/>
    </row>
    <row r="173" spans="2:4" ht="12.75">
      <c r="B173" s="55"/>
      <c r="C173" s="25"/>
      <c r="D173" s="60"/>
    </row>
    <row r="174" ht="13.5">
      <c r="B174" s="56"/>
    </row>
    <row r="175" ht="13.5">
      <c r="B175" s="56"/>
    </row>
  </sheetData>
  <sheetProtection/>
  <mergeCells count="9">
    <mergeCell ref="H5:H6"/>
    <mergeCell ref="C5:C6"/>
    <mergeCell ref="F1:G1"/>
    <mergeCell ref="D5:D6"/>
    <mergeCell ref="E5:E6"/>
    <mergeCell ref="F5:F6"/>
    <mergeCell ref="G5:G6"/>
    <mergeCell ref="A1:C1"/>
    <mergeCell ref="A2:C2"/>
  </mergeCells>
  <printOptions/>
  <pageMargins left="0.3937007874015748" right="0.3937007874015748" top="0.5905511811023623" bottom="0.5905511811023623" header="0" footer="0.3937007874015748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" sqref="E1"/>
    </sheetView>
  </sheetViews>
  <sheetFormatPr defaultColWidth="12" defaultRowHeight="12.75"/>
  <cols>
    <col min="2" max="2" width="23.83203125" style="65" customWidth="1"/>
    <col min="3" max="3" width="12" style="65" customWidth="1"/>
    <col min="4" max="4" width="24.33203125" style="65" customWidth="1"/>
    <col min="5" max="6" width="21.33203125" style="65" customWidth="1"/>
    <col min="7" max="7" width="24.66015625" style="65" customWidth="1"/>
  </cols>
  <sheetData>
    <row r="1" spans="5:6" ht="12.75">
      <c r="E1" s="66" t="s">
        <v>295</v>
      </c>
      <c r="F1" s="66"/>
    </row>
    <row r="2" spans="1:7" ht="12.75">
      <c r="A2">
        <v>169</v>
      </c>
      <c r="B2" s="65">
        <v>24073702416</v>
      </c>
      <c r="D2" s="65">
        <v>4204814366</v>
      </c>
      <c r="E2" s="67">
        <v>398500000</v>
      </c>
      <c r="F2" s="67">
        <v>332300000</v>
      </c>
      <c r="G2" s="65">
        <f>SUM(B2:F2)</f>
        <v>29009316782</v>
      </c>
    </row>
    <row r="3" spans="5:7" ht="12.75">
      <c r="E3" s="67"/>
      <c r="F3" s="67"/>
      <c r="G3" s="65">
        <f aca="true" t="shared" si="0" ref="G3:G8">SUM(B3:E3)</f>
        <v>0</v>
      </c>
    </row>
    <row r="4" spans="1:7" ht="12.75">
      <c r="A4">
        <v>170</v>
      </c>
      <c r="B4" s="65">
        <v>1047270763</v>
      </c>
      <c r="E4" s="67"/>
      <c r="F4" s="67"/>
      <c r="G4" s="65">
        <f t="shared" si="0"/>
        <v>1047270763</v>
      </c>
    </row>
    <row r="5" spans="5:7" ht="12.75">
      <c r="E5" s="67"/>
      <c r="F5" s="67"/>
      <c r="G5" s="65">
        <f t="shared" si="0"/>
        <v>0</v>
      </c>
    </row>
    <row r="6" spans="1:7" ht="12.75">
      <c r="A6">
        <v>175</v>
      </c>
      <c r="B6" s="65">
        <v>13410611885</v>
      </c>
      <c r="D6" s="65">
        <v>2100000000</v>
      </c>
      <c r="E6" s="67">
        <v>469800000</v>
      </c>
      <c r="F6" s="67"/>
      <c r="G6" s="65">
        <f t="shared" si="0"/>
        <v>15980411885</v>
      </c>
    </row>
    <row r="7" spans="5:7" ht="12.75">
      <c r="E7" s="67"/>
      <c r="F7" s="67"/>
      <c r="G7" s="65">
        <f t="shared" si="0"/>
        <v>0</v>
      </c>
    </row>
    <row r="8" spans="1:7" ht="12.75">
      <c r="A8">
        <v>185</v>
      </c>
      <c r="B8" s="65">
        <v>110414936</v>
      </c>
      <c r="E8" s="67"/>
      <c r="F8" s="67"/>
      <c r="G8" s="65">
        <f t="shared" si="0"/>
        <v>110414936</v>
      </c>
    </row>
    <row r="9" spans="5:6" ht="12.75">
      <c r="E9" s="67"/>
      <c r="F9" s="67"/>
    </row>
    <row r="10" spans="2:7" ht="12.75">
      <c r="B10" s="67">
        <f aca="true" t="shared" si="1" ref="B10:G10">SUM(B2:B8)</f>
        <v>38642000000</v>
      </c>
      <c r="C10" s="67">
        <f t="shared" si="1"/>
        <v>0</v>
      </c>
      <c r="D10" s="67">
        <f t="shared" si="1"/>
        <v>6304814366</v>
      </c>
      <c r="E10" s="67">
        <f t="shared" si="1"/>
        <v>868300000</v>
      </c>
      <c r="F10" s="67">
        <f t="shared" si="1"/>
        <v>332300000</v>
      </c>
      <c r="G10" s="65">
        <f t="shared" si="1"/>
        <v>46147414366</v>
      </c>
    </row>
    <row r="12" ht="12.75">
      <c r="D12" s="65">
        <f>SUM(B10:D10)</f>
        <v>44946814366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5">
      <selection activeCell="C23" sqref="C23"/>
    </sheetView>
  </sheetViews>
  <sheetFormatPr defaultColWidth="12" defaultRowHeight="12.75"/>
  <cols>
    <col min="2" max="2" width="70.16015625" style="0" customWidth="1"/>
    <col min="3" max="3" width="22.66015625" style="0" customWidth="1"/>
  </cols>
  <sheetData>
    <row r="1" spans="1:2" s="1" customFormat="1" ht="20.25">
      <c r="A1" s="79" t="s">
        <v>10</v>
      </c>
      <c r="B1" s="79"/>
    </row>
    <row r="2" spans="1:2" s="1" customFormat="1" ht="20.25">
      <c r="A2" s="62" t="s">
        <v>287</v>
      </c>
      <c r="B2" s="62"/>
    </row>
    <row r="3" s="1" customFormat="1" ht="20.25"/>
    <row r="4" s="2" customFormat="1" ht="15.75"/>
    <row r="5" spans="1:3" s="11" customFormat="1" ht="12.75" customHeight="1">
      <c r="A5" s="52"/>
      <c r="B5" s="52"/>
      <c r="C5" s="80" t="s">
        <v>290</v>
      </c>
    </row>
    <row r="6" spans="1:3" s="3" customFormat="1" ht="12.75">
      <c r="A6" s="53" t="s">
        <v>0</v>
      </c>
      <c r="B6" s="54"/>
      <c r="C6" s="80"/>
    </row>
    <row r="7" spans="1:3" s="9" customFormat="1" ht="15.75">
      <c r="A7" s="19">
        <v>1</v>
      </c>
      <c r="B7" s="12" t="s">
        <v>27</v>
      </c>
      <c r="C7" s="28">
        <f>SUM(C8)</f>
        <v>86814363</v>
      </c>
    </row>
    <row r="8" spans="1:3" s="5" customFormat="1" ht="15.75">
      <c r="A8" s="8" t="s">
        <v>266</v>
      </c>
      <c r="B8" s="6" t="s">
        <v>159</v>
      </c>
      <c r="C8" s="17">
        <f>SUM(C9:C9)</f>
        <v>86814363</v>
      </c>
    </row>
    <row r="9" spans="1:3" s="42" customFormat="1" ht="15.75">
      <c r="A9" s="7" t="s">
        <v>160</v>
      </c>
      <c r="B9" s="4" t="s">
        <v>161</v>
      </c>
      <c r="C9" s="27">
        <v>86814363</v>
      </c>
    </row>
    <row r="10" spans="1:3" s="42" customFormat="1" ht="15.75">
      <c r="A10" s="7"/>
      <c r="B10" s="4"/>
      <c r="C10" s="27"/>
    </row>
    <row r="11" spans="1:3" s="9" customFormat="1" ht="15.75">
      <c r="A11" s="19">
        <v>6</v>
      </c>
      <c r="B11" s="12" t="s">
        <v>11</v>
      </c>
      <c r="C11" s="28">
        <f>SUM(C12)</f>
        <v>4118000000</v>
      </c>
    </row>
    <row r="12" spans="1:3" s="5" customFormat="1" ht="15.75">
      <c r="A12" s="8" t="s">
        <v>143</v>
      </c>
      <c r="B12" s="6" t="s">
        <v>132</v>
      </c>
      <c r="C12" s="17">
        <f>SUM(C13,C15,C18)</f>
        <v>4118000000</v>
      </c>
    </row>
    <row r="13" spans="1:3" s="5" customFormat="1" ht="15.75">
      <c r="A13" s="12" t="s">
        <v>187</v>
      </c>
      <c r="B13" s="12" t="s">
        <v>188</v>
      </c>
      <c r="C13" s="28">
        <f>SUM(C14:C14)</f>
        <v>200000000</v>
      </c>
    </row>
    <row r="14" spans="1:3" s="5" customFormat="1" ht="15.75">
      <c r="A14" s="4" t="s">
        <v>214</v>
      </c>
      <c r="B14" s="4" t="s">
        <v>215</v>
      </c>
      <c r="C14" s="27">
        <v>200000000</v>
      </c>
    </row>
    <row r="15" spans="1:3" s="9" customFormat="1" ht="15.75">
      <c r="A15" s="12" t="s">
        <v>131</v>
      </c>
      <c r="B15" s="12" t="s">
        <v>133</v>
      </c>
      <c r="C15" s="28">
        <f>SUM(C16:C17)</f>
        <v>1668000000</v>
      </c>
    </row>
    <row r="16" spans="1:3" s="42" customFormat="1" ht="15.75">
      <c r="A16" s="7" t="s">
        <v>201</v>
      </c>
      <c r="B16" s="4" t="s">
        <v>202</v>
      </c>
      <c r="C16" s="27">
        <v>57000000</v>
      </c>
    </row>
    <row r="17" spans="1:3" s="42" customFormat="1" ht="15.75">
      <c r="A17" s="7" t="s">
        <v>203</v>
      </c>
      <c r="B17" s="4" t="s">
        <v>204</v>
      </c>
      <c r="C17" s="27">
        <v>1611000000</v>
      </c>
    </row>
    <row r="18" spans="1:3" s="9" customFormat="1" ht="15.75">
      <c r="A18" s="19" t="s">
        <v>281</v>
      </c>
      <c r="B18" s="12" t="s">
        <v>282</v>
      </c>
      <c r="C18" s="28">
        <f>SUM(C19)</f>
        <v>2250000000</v>
      </c>
    </row>
    <row r="19" spans="1:3" s="42" customFormat="1" ht="15.75">
      <c r="A19" s="7" t="s">
        <v>283</v>
      </c>
      <c r="B19" s="4" t="s">
        <v>284</v>
      </c>
      <c r="C19" s="27">
        <v>2250000000</v>
      </c>
    </row>
    <row r="20" spans="1:3" s="42" customFormat="1" ht="15.75">
      <c r="A20" s="4"/>
      <c r="B20" s="4"/>
      <c r="C20" s="13"/>
    </row>
    <row r="21" spans="1:3" s="9" customFormat="1" ht="15.75">
      <c r="A21" s="19">
        <v>7</v>
      </c>
      <c r="B21" s="12" t="s">
        <v>140</v>
      </c>
      <c r="C21" s="28">
        <f>SUM(C22:C23)</f>
        <v>2100000000</v>
      </c>
    </row>
    <row r="22" spans="1:3" s="9" customFormat="1" ht="15.75">
      <c r="A22" s="7" t="s">
        <v>250</v>
      </c>
      <c r="B22" s="4" t="s">
        <v>251</v>
      </c>
      <c r="C22" s="27"/>
    </row>
    <row r="23" spans="1:3" s="9" customFormat="1" ht="31.5">
      <c r="A23" s="57" t="s">
        <v>234</v>
      </c>
      <c r="B23" s="61" t="s">
        <v>270</v>
      </c>
      <c r="C23" s="58">
        <v>2100000000</v>
      </c>
    </row>
    <row r="24" spans="1:3" s="9" customFormat="1" ht="15.75">
      <c r="A24" s="4"/>
      <c r="B24" s="4"/>
      <c r="C24" s="18"/>
    </row>
    <row r="25" spans="1:3" s="9" customFormat="1" ht="15.75">
      <c r="A25" s="12"/>
      <c r="B25" s="12" t="s">
        <v>9</v>
      </c>
      <c r="C25" s="18">
        <f>SUM(C21,C11,C7)</f>
        <v>6304814363</v>
      </c>
    </row>
    <row r="27" ht="12.75">
      <c r="C27" s="36">
        <v>6304800000</v>
      </c>
    </row>
    <row r="30" ht="12.75">
      <c r="C30" s="10">
        <f>C25-C27</f>
        <v>14363</v>
      </c>
    </row>
  </sheetData>
  <sheetProtection/>
  <mergeCells count="2">
    <mergeCell ref="C5:C6"/>
    <mergeCell ref="A1:B1"/>
  </mergeCells>
  <printOptions/>
  <pageMargins left="0.3937007874015748" right="0.7086614173228347" top="0.7480314960629921" bottom="0.7480314960629921" header="0.31496062992125984" footer="0.31496062992125984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Grace Diaz</cp:lastModifiedBy>
  <cp:lastPrinted>2016-09-05T14:06:48Z</cp:lastPrinted>
  <dcterms:created xsi:type="dcterms:W3CDTF">1999-04-29T15:37:16Z</dcterms:created>
  <dcterms:modified xsi:type="dcterms:W3CDTF">2016-09-05T14:29:07Z</dcterms:modified>
  <cp:category/>
  <cp:version/>
  <cp:contentType/>
  <cp:contentStatus/>
</cp:coreProperties>
</file>