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G TRABAJO one drive\PLAN DE COMPRA\PLAN DE COMPRA 2022\MODIFICACIONES\PROGRAMA 16900\3° PROGRAMA 16900\"/>
    </mc:Choice>
  </mc:AlternateContent>
  <bookViews>
    <workbookView xWindow="0" yWindow="0" windowWidth="24000" windowHeight="9600" tabRatio="481"/>
  </bookViews>
  <sheets>
    <sheet name=" PROGRAMA 16900" sheetId="11" r:id="rId1"/>
    <sheet name="RESUMEN I MOD. 169" sheetId="14" state="hidden" r:id="rId2"/>
    <sheet name="Hoja1" sheetId="6" state="hidden" r:id="rId3"/>
    <sheet name="Referencias" sheetId="3" state="hidden" r:id="rId4"/>
    <sheet name="Hoja5" sheetId="5" state="hidden" r:id="rId5"/>
    <sheet name="Comparativo" sheetId="15" state="hidden" r:id="rId6"/>
    <sheet name="DescripPartidas" sheetId="16" state="hidden" r:id="rId7"/>
  </sheets>
  <externalReferences>
    <externalReference r:id="rId8"/>
    <externalReference r:id="rId9"/>
    <externalReference r:id="rId10"/>
  </externalReferences>
  <definedNames>
    <definedName name="_xlnm._FilterDatabase" localSheetId="0" hidden="1">' PROGRAMA 16900'!$A$16:$M$430</definedName>
    <definedName name="_xlnm._FilterDatabase" localSheetId="5" hidden="1">Comparativo!$A$1:$E$44</definedName>
    <definedName name="_xlnm._FilterDatabase" localSheetId="6" hidden="1">DescripPartidas!$A$1:$B$44</definedName>
    <definedName name="_Hlt57100723" localSheetId="0">' PROGRAMA 16900'!#REF!</definedName>
    <definedName name="_Hlt57100974" localSheetId="0">' PROGRAMA 16900'!$D$249</definedName>
  </definedNames>
  <calcPr calcId="162913"/>
</workbook>
</file>

<file path=xl/calcChain.xml><?xml version="1.0" encoding="utf-8"?>
<calcChain xmlns="http://schemas.openxmlformats.org/spreadsheetml/2006/main">
  <c r="G262" i="11" l="1"/>
  <c r="G264" i="11"/>
  <c r="G263" i="11"/>
  <c r="G402" i="11" l="1"/>
  <c r="G407" i="11"/>
  <c r="G426" i="11"/>
  <c r="G427" i="11"/>
  <c r="B3" i="15" l="1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18" i="15"/>
  <c r="B2" i="15"/>
  <c r="C18" i="15" l="1"/>
  <c r="E18" i="15" s="1"/>
  <c r="C43" i="15"/>
  <c r="E43" i="15" s="1"/>
  <c r="C9" i="15"/>
  <c r="E9" i="15" s="1"/>
  <c r="C10" i="15"/>
  <c r="E10" i="15" s="1"/>
  <c r="C19" i="15"/>
  <c r="E19" i="15" s="1"/>
  <c r="C20" i="15"/>
  <c r="E20" i="15" s="1"/>
  <c r="C23" i="15"/>
  <c r="E23" i="15" s="1"/>
  <c r="C24" i="15"/>
  <c r="E24" i="15" s="1"/>
  <c r="C25" i="15"/>
  <c r="E25" i="15" s="1"/>
  <c r="C26" i="15"/>
  <c r="E26" i="15" s="1"/>
  <c r="C27" i="15"/>
  <c r="E27" i="15" s="1"/>
  <c r="C30" i="15"/>
  <c r="E30" i="15" s="1"/>
  <c r="C32" i="15"/>
  <c r="E32" i="15" s="1"/>
  <c r="C34" i="15"/>
  <c r="E34" i="15" s="1"/>
  <c r="C36" i="15"/>
  <c r="E36" i="15" s="1"/>
  <c r="C38" i="15"/>
  <c r="E38" i="15" s="1"/>
  <c r="C39" i="15"/>
  <c r="E39" i="15" s="1"/>
  <c r="C40" i="15"/>
  <c r="E40" i="15" s="1"/>
  <c r="D44" i="15" l="1"/>
  <c r="G399" i="11" l="1"/>
  <c r="G396" i="11"/>
  <c r="G337" i="11"/>
  <c r="G302" i="11"/>
  <c r="G233" i="11"/>
  <c r="G228" i="11"/>
  <c r="G185" i="11"/>
  <c r="G180" i="11"/>
  <c r="G176" i="11"/>
  <c r="G171" i="11"/>
  <c r="G165" i="11"/>
  <c r="G156" i="11"/>
  <c r="G143" i="11"/>
  <c r="G141" i="11"/>
  <c r="G79" i="11"/>
  <c r="G73" i="11"/>
  <c r="C42" i="15" l="1"/>
  <c r="E42" i="15" s="1"/>
  <c r="G268" i="11"/>
  <c r="G297" i="11"/>
  <c r="G276" i="11"/>
  <c r="G273" i="11"/>
  <c r="G267" i="11"/>
  <c r="G401" i="11" l="1"/>
  <c r="C41" i="15"/>
  <c r="E41" i="15" s="1"/>
  <c r="G425" i="11"/>
  <c r="G232" i="11"/>
  <c r="G193" i="11"/>
  <c r="G190" i="11"/>
  <c r="G164" i="11"/>
  <c r="G138" i="11"/>
  <c r="G124" i="11"/>
  <c r="G115" i="11"/>
  <c r="G62" i="11"/>
  <c r="G54" i="11"/>
  <c r="G45" i="11"/>
  <c r="G98" i="11"/>
  <c r="G97" i="11"/>
  <c r="G96" i="11" s="1"/>
  <c r="G85" i="11"/>
  <c r="G83" i="11"/>
  <c r="G84" i="11"/>
  <c r="G82" i="11"/>
  <c r="G56" i="11"/>
  <c r="G51" i="11"/>
  <c r="G52" i="11"/>
  <c r="G50" i="11"/>
  <c r="G49" i="11"/>
  <c r="G18" i="11"/>
  <c r="G81" i="11" l="1"/>
  <c r="C11" i="15"/>
  <c r="E11" i="15" s="1"/>
  <c r="C13" i="15"/>
  <c r="E13" i="15" s="1"/>
  <c r="G60" i="11"/>
  <c r="C8" i="15"/>
  <c r="E8" i="15" s="1"/>
  <c r="G163" i="11"/>
  <c r="C22" i="15"/>
  <c r="E22" i="15" s="1"/>
  <c r="G109" i="11"/>
  <c r="C14" i="15"/>
  <c r="E14" i="15" s="1"/>
  <c r="G187" i="11"/>
  <c r="C28" i="15"/>
  <c r="E28" i="15" s="1"/>
  <c r="G43" i="11"/>
  <c r="C4" i="15"/>
  <c r="E4" i="15" s="1"/>
  <c r="G122" i="11"/>
  <c r="C15" i="15"/>
  <c r="E15" i="15" s="1"/>
  <c r="C5" i="15"/>
  <c r="E5" i="15" s="1"/>
  <c r="G55" i="11"/>
  <c r="C7" i="15"/>
  <c r="E7" i="15" s="1"/>
  <c r="G53" i="11"/>
  <c r="C6" i="15"/>
  <c r="E6" i="15" s="1"/>
  <c r="G136" i="11"/>
  <c r="C17" i="15"/>
  <c r="E17" i="15" s="1"/>
  <c r="G231" i="11"/>
  <c r="C31" i="15"/>
  <c r="E31" i="15" s="1"/>
  <c r="G48" i="11"/>
  <c r="G21" i="11"/>
  <c r="G22" i="11"/>
  <c r="C3" i="15" l="1"/>
  <c r="E3" i="15" s="1"/>
  <c r="G20" i="11"/>
  <c r="G333" i="11" l="1"/>
  <c r="G225" i="11" l="1"/>
  <c r="G220" i="11"/>
  <c r="G250" i="11" l="1"/>
  <c r="G249" i="11" l="1"/>
  <c r="C33" i="15"/>
  <c r="E33" i="15" s="1"/>
  <c r="G330" i="11"/>
  <c r="G326" i="11"/>
  <c r="G325" i="11"/>
  <c r="G323" i="11"/>
  <c r="E319" i="11"/>
  <c r="G310" i="11"/>
  <c r="L307" i="11"/>
  <c r="G294" i="11"/>
  <c r="E294" i="11"/>
  <c r="G293" i="11"/>
  <c r="E293" i="11"/>
  <c r="E292" i="11"/>
  <c r="G291" i="11"/>
  <c r="G290" i="11"/>
  <c r="E290" i="11"/>
  <c r="G289" i="11"/>
  <c r="E289" i="11"/>
  <c r="E288" i="11"/>
  <c r="G283" i="11"/>
  <c r="E283" i="11"/>
  <c r="E282" i="11"/>
  <c r="E276" i="11"/>
  <c r="E275" i="11"/>
  <c r="E274" i="11"/>
  <c r="E272" i="11"/>
  <c r="E271" i="11"/>
  <c r="E270" i="11"/>
  <c r="E269" i="11"/>
  <c r="G214" i="11"/>
  <c r="C29" i="15" s="1"/>
  <c r="E29" i="15" s="1"/>
  <c r="G161" i="11"/>
  <c r="C21" i="15" s="1"/>
  <c r="E21" i="15" s="1"/>
  <c r="G134" i="11"/>
  <c r="C16" i="15" s="1"/>
  <c r="E16" i="15" s="1"/>
  <c r="G91" i="11"/>
  <c r="G90" i="11"/>
  <c r="G19" i="11"/>
  <c r="C2" i="15" s="1"/>
  <c r="E2" i="15" s="1"/>
  <c r="C37" i="15" l="1"/>
  <c r="E37" i="15" s="1"/>
  <c r="G86" i="11"/>
  <c r="C12" i="15"/>
  <c r="E12" i="15" s="1"/>
  <c r="G266" i="11"/>
  <c r="C35" i="15"/>
  <c r="E35" i="15" s="1"/>
  <c r="G308" i="11"/>
  <c r="G196" i="11"/>
  <c r="G17" i="11"/>
  <c r="G127" i="11"/>
  <c r="G158" i="11"/>
  <c r="G430" i="11" l="1"/>
  <c r="E44" i="15"/>
  <c r="C44" i="15"/>
</calcChain>
</file>

<file path=xl/sharedStrings.xml><?xml version="1.0" encoding="utf-8"?>
<sst xmlns="http://schemas.openxmlformats.org/spreadsheetml/2006/main" count="1834" uniqueCount="424">
  <si>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</si>
  <si>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</si>
  <si>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</si>
  <si>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</si>
  <si>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</si>
  <si>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</si>
  <si>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</si>
  <si>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</si>
  <si>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</si>
  <si>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</si>
  <si>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</si>
  <si>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</si>
  <si>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</si>
  <si>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</si>
  <si>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</si>
  <si>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</si>
  <si>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</si>
  <si>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</si>
  <si>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</si>
  <si>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</si>
  <si>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</si>
  <si>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</si>
  <si>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</si>
  <si>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</si>
  <si>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</si>
  <si>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</si>
  <si>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</si>
  <si>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</si>
  <si>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</si>
  <si>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</si>
  <si>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</si>
  <si>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</si>
  <si>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</si>
  <si>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</si>
  <si>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</si>
  <si>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</si>
  <si>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</si>
  <si>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</si>
  <si>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</si>
  <si>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</si>
  <si>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</si>
  <si>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MANTENIMIENTO Y REPARACION DE EQUIPO DE COMPUTO Y SISTEMAS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</si>
  <si>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</si>
  <si>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</si>
  <si>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</si>
  <si>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</si>
  <si>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</si>
  <si>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</si>
  <si>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</si>
  <si>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</si>
  <si>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</si>
  <si>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</si>
  <si>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</si>
  <si>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</si>
  <si>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</si>
  <si>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</si>
  <si>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</si>
  <si>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</si>
  <si>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</si>
  <si>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</si>
  <si>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</si>
  <si>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</si>
  <si>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</si>
  <si>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</si>
  <si>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</si>
  <si>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</si>
  <si>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</si>
  <si>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</si>
  <si>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</si>
  <si>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</si>
  <si>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</si>
  <si>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</si>
  <si>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</si>
  <si>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</si>
  <si>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</si>
  <si>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</si>
  <si>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</si>
  <si>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</si>
  <si>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</si>
  <si>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</si>
  <si>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</si>
  <si>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</si>
  <si>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</si>
  <si>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</si>
  <si>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</si>
  <si>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</si>
  <si>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</si>
  <si>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</si>
  <si>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</si>
  <si>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</si>
  <si>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</si>
  <si>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</si>
  <si>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</si>
  <si>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</si>
  <si>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</si>
  <si>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</si>
  <si>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</si>
  <si>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</si>
  <si>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</si>
  <si>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</si>
  <si>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</si>
  <si>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</si>
  <si>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</si>
  <si>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</si>
  <si>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</si>
  <si>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</si>
  <si>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</si>
  <si>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</si>
  <si>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</si>
  <si>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</si>
  <si>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</si>
  <si>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</si>
  <si>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</si>
  <si>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</si>
  <si>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</si>
  <si>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</si>
  <si>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</si>
  <si>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</si>
  <si>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</si>
  <si>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</si>
  <si>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</si>
  <si>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</si>
  <si>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</si>
  <si>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</si>
  <si>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</si>
  <si>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</si>
  <si>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</si>
  <si>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</si>
  <si>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</si>
  <si>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</si>
  <si>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</si>
  <si>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</si>
  <si>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</si>
  <si>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</si>
  <si>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</si>
  <si>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</si>
  <si>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</si>
  <si>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</si>
  <si>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MASCARILLA REUTILIZABLE DE TELA </t>
  </si>
  <si>
    <t>CARETA DE PROTECCIÓN </t>
  </si>
  <si>
    <t>GUANTES DE NITRILO </t>
  </si>
  <si>
    <t>II  2021</t>
  </si>
  <si>
    <t>PRESUPUESTO alcance No.318 a la gaceta No. 284 del 2/12/2020</t>
  </si>
  <si>
    <t>ALQUILER DE MAQUINARIA , EQUIPO Y MOBILIARIO</t>
  </si>
  <si>
    <t>ARRENDAMIENTO DE VEHICULOS,BAJO LA MODALIDAD RENTING</t>
  </si>
  <si>
    <t>SERVICIO DE AGUA Y ALCANTARILLADO</t>
  </si>
  <si>
    <t>SERVICIO DE ENERGIA ELECTRICA</t>
  </si>
  <si>
    <t>SERVICIO DE TELECOMUNICACIONES</t>
  </si>
  <si>
    <t>OTROS SERVICIOS BASICOS</t>
  </si>
  <si>
    <t xml:space="preserve">SERVICIOS MUNICIPALES </t>
  </si>
  <si>
    <t>SERVICIOS DE RECOLECCION DE BIOINFECCIOSOS</t>
  </si>
  <si>
    <t>SERVICIOS DE RECOLECCION DE DESECHOS SOLIDOS</t>
  </si>
  <si>
    <t xml:space="preserve">INFORMACION </t>
  </si>
  <si>
    <t>PUBLICACIONES IMPRENTA</t>
  </si>
  <si>
    <t>PUBLICACIONES GUSTICO</t>
  </si>
  <si>
    <t>PUBLICACIONES  CAMPAÑAS</t>
  </si>
  <si>
    <t>PUBLICIDAD EN INTERNET</t>
  </si>
  <si>
    <t>SERVICIO PRODUCCIÓN PUBLICIDAD</t>
  </si>
  <si>
    <t>TRANSPORTE DE BIENES</t>
  </si>
  <si>
    <t xml:space="preserve">72154502	</t>
  </si>
  <si>
    <t>COMISIONES Y GASTOS POR SERVICIOS FINANCIEROS Y COMERCIALES</t>
  </si>
  <si>
    <t xml:space="preserve">PAGO DE PEAJE POR TRANSFERENCIAS </t>
  </si>
  <si>
    <t>SERVICIOS DE TECNOLOGIAS DE INFORMACION</t>
  </si>
  <si>
    <t>ACTUALIZACION DE SUSCRIPCION OFFICE</t>
  </si>
  <si>
    <t xml:space="preserve">SERVICIO DE RENOVACIÓN PARA LA EMISIÓN DE CERTIFICADOS DIGITALESY SUS RESPECTIVOS DISPOSITIVOS CRIPTOGRÁFICOS DE FIRMA DIGITAL
</t>
  </si>
  <si>
    <t>ACTUALIZACION ANTIVIRUS</t>
  </si>
  <si>
    <t>SERVICIO DE PARQUEO DE VEHÍCULOS</t>
  </si>
  <si>
    <t>SERVICIO DE EXTERMINACIÓN Y FUMIGACIÓN</t>
  </si>
  <si>
    <t>SEGUROS</t>
  </si>
  <si>
    <t>POLIZAS  RIESGOS</t>
  </si>
  <si>
    <t>SEGURO VEHICULOS</t>
  </si>
  <si>
    <t>MARCHAMOS</t>
  </si>
  <si>
    <t xml:space="preserve">MARCHAMOS </t>
  </si>
  <si>
    <t xml:space="preserve">MANT.EDIFICIOS CONTRATO </t>
  </si>
  <si>
    <t xml:space="preserve">SERVICIO </t>
  </si>
  <si>
    <t>MANT. EDIFICIOS ASCENSOR</t>
  </si>
  <si>
    <t xml:space="preserve">MANT. EDIFICIOS SERVICIO LIMPIEZA TANQUES </t>
  </si>
  <si>
    <t>MANTENIMIENTO Y REPARACION DE MAQUINARIA Y EQUIPO DE PRODUCCION</t>
  </si>
  <si>
    <t xml:space="preserve">SERVICIO DE MANTENIMIENTO DE VEHICULO CONTRATO </t>
  </si>
  <si>
    <t>MANTENIMIENTO Y REPARACIÓN DE EQUIPO DE COMUNICACIÓN</t>
  </si>
  <si>
    <t>SERVICIO DE REPARACIÓN DE MUEBLES</t>
  </si>
  <si>
    <t>MANTENIMIENTO Y REPARACION DE EQUIPO DE COMPUTO Y SISTEMAS DEINFORMACION.</t>
  </si>
  <si>
    <t>169</t>
  </si>
  <si>
    <t>INTERESES MORATORIOS Y MULTAS</t>
  </si>
  <si>
    <t>005000007</t>
  </si>
  <si>
    <t xml:space="preserve">RECURSOS PARA ATENDERE POSIBLES MULTAS </t>
  </si>
  <si>
    <t>DEDUCIBLES</t>
  </si>
  <si>
    <t>005000005</t>
  </si>
  <si>
    <t xml:space="preserve">pastillas/tabletas </t>
  </si>
  <si>
    <t xml:space="preserve">BUTILBROMURO </t>
  </si>
  <si>
    <t xml:space="preserve">	51162701</t>
  </si>
  <si>
    <t xml:space="preserve">	PIROXICAM </t>
  </si>
  <si>
    <t>400</t>
  </si>
  <si>
    <t xml:space="preserve">	CETIRIZINA </t>
  </si>
  <si>
    <t>8</t>
  </si>
  <si>
    <t>10</t>
  </si>
  <si>
    <t>6</t>
  </si>
  <si>
    <t>5</t>
  </si>
  <si>
    <t xml:space="preserve">NIFUROXAZIDA </t>
  </si>
  <si>
    <t xml:space="preserve">	VITAMINAS IM</t>
  </si>
  <si>
    <t>25</t>
  </si>
  <si>
    <t>20</t>
  </si>
  <si>
    <t>500</t>
  </si>
  <si>
    <t>50</t>
  </si>
  <si>
    <t>4</t>
  </si>
  <si>
    <t>30</t>
  </si>
  <si>
    <t xml:space="preserve">BROMURO DE OTILONIO </t>
  </si>
  <si>
    <t xml:space="preserve">	51171504</t>
  </si>
  <si>
    <t xml:space="preserve">	51401799</t>
  </si>
  <si>
    <t>BALASTRO ELECTRONICO PARA LAMPARA FLUORESCENTE</t>
  </si>
  <si>
    <t>LÁMPARA FLUORESCENTE LINEAL (TUBO)</t>
  </si>
  <si>
    <t xml:space="preserve">BASE PARA TUBO FLUORESCENTE </t>
  </si>
  <si>
    <t xml:space="preserve">BOMBILLO </t>
  </si>
  <si>
    <t>APAGADOR</t>
  </si>
  <si>
    <t>TOMACORRIENTE</t>
  </si>
  <si>
    <t xml:space="preserve">MEMORIAS </t>
  </si>
  <si>
    <t xml:space="preserve">UNIDADES </t>
  </si>
  <si>
    <t>MEMORIA USB (LLAVES MAYAS)</t>
  </si>
  <si>
    <t>KIT COMPLETO DE FIRMA DIGITAL ((TARJETA, LECTOR Y CERTIFICADO)</t>
  </si>
  <si>
    <t xml:space="preserve">UNIDAD  </t>
  </si>
  <si>
    <t>SACAPUNTAS MATALICO(TAJADOR)</t>
  </si>
  <si>
    <t>GOMA EN BARRA,TIPO LAPIZ ADHESIVO</t>
  </si>
  <si>
    <t>FASTENER PLASTICOS(PRENSA PARA FOLDER)</t>
  </si>
  <si>
    <t xml:space="preserve">BOLIGRAFO,TINTA GEL,COLOR AZUL </t>
  </si>
  <si>
    <t xml:space="preserve">BOLIGRAFO,TINTA GEL,COLOR ROJO </t>
  </si>
  <si>
    <t xml:space="preserve">42281912		</t>
  </si>
  <si>
    <t xml:space="preserve">PAPEL PARA CAMILLA </t>
  </si>
  <si>
    <t>NOTAS ADHESIVAS (QUITA Y PON)</t>
  </si>
  <si>
    <t xml:space="preserve">MEDALLAS AL MERITO </t>
  </si>
  <si>
    <t>ACTUALIZACION, RENOVACION O PARCHES PARA SOFTWARE</t>
  </si>
  <si>
    <t>AMOXILINA</t>
  </si>
  <si>
    <t>140</t>
  </si>
  <si>
    <t>ALCOHOL</t>
  </si>
  <si>
    <t>frasco</t>
  </si>
  <si>
    <t>GLUCONATO</t>
  </si>
  <si>
    <t>3</t>
  </si>
  <si>
    <t>BROMURO DE IPRATROPIO Y SALBUTAMOL</t>
  </si>
  <si>
    <t>CAJA ARCHIVO DOCUMENTOS</t>
  </si>
  <si>
    <t>SOPORTE SOFTWARE(LICENCIA TODO TIPO)</t>
  </si>
  <si>
    <t>AUMENTO</t>
  </si>
  <si>
    <t>EQUIPO DE COMUNICACION</t>
  </si>
  <si>
    <t>CONTROLADOR DE RED</t>
  </si>
  <si>
    <t>DISMINUYE SEGUN DECRETO</t>
  </si>
  <si>
    <t>AUMENTA SEGUN DECRETO</t>
  </si>
  <si>
    <t xml:space="preserve">	26111703</t>
  </si>
  <si>
    <t>BATERIAS</t>
  </si>
  <si>
    <t>I    2022</t>
  </si>
  <si>
    <t>SERVICIO DE CORREO</t>
  </si>
  <si>
    <t>TRANSPORTE DENTRO DEL PAIS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</si>
  <si>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</si>
  <si>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</si>
  <si>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</si>
  <si>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</si>
  <si>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</si>
  <si>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</si>
  <si>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</si>
  <si>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</si>
  <si>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</si>
  <si>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</si>
  <si>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</si>
  <si>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</si>
  <si>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</si>
  <si>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</si>
  <si>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</si>
  <si>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</si>
  <si>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</si>
  <si>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</si>
  <si>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</si>
  <si>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</si>
  <si>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</si>
  <si>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</si>
  <si>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</si>
  <si>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</si>
  <si>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</si>
  <si>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</si>
  <si>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</si>
  <si>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</si>
  <si>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</si>
  <si>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</si>
  <si>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</si>
  <si>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</si>
  <si>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</si>
  <si>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</si>
  <si>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</si>
  <si>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</si>
  <si>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</si>
  <si>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</si>
  <si>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</si>
  <si>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</si>
  <si>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</si>
  <si>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</si>
  <si>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</si>
  <si>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</si>
  <si>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</si>
  <si>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</si>
  <si>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</si>
  <si>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</si>
  <si>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jabon en barra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</si>
  <si>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</si>
  <si>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</si>
  <si>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</si>
  <si>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</si>
  <si>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</si>
  <si>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</si>
  <si>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</si>
  <si>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</si>
  <si>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</si>
  <si>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</si>
  <si>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</si>
  <si>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Compra de un sistema de aire acondicionado de precisión para el centro de datos</t>
  </si>
  <si>
    <t>MESAS</t>
  </si>
  <si>
    <t>SILLAS PLEGABLES</t>
  </si>
  <si>
    <t>MESAS PLEGABLES</t>
  </si>
  <si>
    <t>ESTACIÓN DE TRABAJO 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</si>
  <si>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</si>
  <si>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</si>
  <si>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</si>
  <si>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</si>
  <si>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</si>
  <si>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</si>
  <si>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</si>
  <si>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</si>
  <si>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</si>
  <si>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</si>
  <si>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</si>
  <si>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</si>
  <si>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 xml:space="preserve"> Switches </t>
  </si>
  <si>
    <t>OTROS SERVICIOS NO ESPECIFICOS</t>
  </si>
  <si>
    <t>005000006</t>
  </si>
  <si>
    <t>TOTAL</t>
  </si>
  <si>
    <t>PLACAS METALICAS PATRIMONIAR</t>
  </si>
  <si>
    <t>II  2022</t>
  </si>
  <si>
    <t>II  2022</t>
  </si>
  <si>
    <t>I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</si>
  <si>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</si>
  <si>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</si>
  <si>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</si>
  <si>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</si>
  <si>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</si>
  <si>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</si>
  <si>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</si>
  <si>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Codigo de Institución:</t>
  </si>
  <si>
    <t>ACTIVIDADES CENTRALES</t>
  </si>
  <si>
    <t>SELLO NÚMERADOR(FOLIADOR)AUTOMATICO  / SELLO FECHADORES</t>
  </si>
  <si>
    <t>HERRAMIENTAS E INSTRUMENTOS</t>
  </si>
  <si>
    <t>27111602</t>
  </si>
  <si>
    <t>CINCEL</t>
  </si>
  <si>
    <t>MARTILLO</t>
  </si>
  <si>
    <t>CAJA PLASTICA P/HERRAMIENTAS</t>
  </si>
  <si>
    <t>PISTOLA MANUAL PARA CARTUCHO SILICONA</t>
  </si>
  <si>
    <t>DESATORNILLADOR</t>
  </si>
  <si>
    <t>DESTORNILLADOR</t>
  </si>
  <si>
    <t>ALICATE</t>
  </si>
  <si>
    <t xml:space="preserve">ESCALERA </t>
  </si>
  <si>
    <t>JUEGO BROCAS</t>
  </si>
  <si>
    <t>LLAVE ALLEN (JUEGO)</t>
  </si>
  <si>
    <t>TALADRO ATORNILLADOR DE IMPACTO</t>
  </si>
  <si>
    <t>REBAJA</t>
  </si>
  <si>
    <t>27111701</t>
  </si>
  <si>
    <t>24112401</t>
  </si>
  <si>
    <t>27112106</t>
  </si>
  <si>
    <t>30191501</t>
  </si>
  <si>
    <t>27112845</t>
  </si>
  <si>
    <t>27111729</t>
  </si>
  <si>
    <t>27112703</t>
  </si>
  <si>
    <t>27112719</t>
  </si>
  <si>
    <t>SE INCLUYE</t>
  </si>
  <si>
    <t>Fuente Finaciamiento.</t>
  </si>
  <si>
    <t>Monto aumentado</t>
  </si>
  <si>
    <t>NEOMICINA SULFATO</t>
  </si>
  <si>
    <t>DISMINUYE</t>
  </si>
  <si>
    <t>VIDARABINA MONOHIDROTO</t>
  </si>
  <si>
    <t xml:space="preserve">  Monto Rebajado</t>
  </si>
  <si>
    <t>SERVICIO DE ARRENDAMIENTO DE UNIDAD DE PODER ININTERRUMPIDA (UPS)</t>
  </si>
  <si>
    <t>CALCAMONIAS</t>
  </si>
  <si>
    <t>SERVICIO DE ARRENDAMIENTO DE COMPUTADORAS PORTATILES</t>
  </si>
  <si>
    <t xml:space="preserve">SERVICIO DE ARRENDAMIENTO DE COMPUTADORA PORTÁTIL- WORKSTATION
</t>
  </si>
  <si>
    <t>SERVICIO DE ARRENDAMIENTO DE COMPUTADORA PORTÁTIL ULTRADELGADA</t>
  </si>
  <si>
    <t>SERVICIO DE ARRENDAMIENTO DE COMPUTADORAS DE ESCRITORIO</t>
  </si>
  <si>
    <t>ALQUILER DE COMPUTADORA TIPO TABLETA</t>
  </si>
  <si>
    <t>SERVICIO DE ARRENDAMIENTO DE MONITORES PARA COMPUTADORA</t>
  </si>
  <si>
    <t>SERVICIO ARRENDAMIENTO CAMARA WEB (WEBCAM) CON MICROFONO INCORPORADO</t>
  </si>
  <si>
    <t>SERVICIO DE ARRENDAMIENTO DE DOCKING STATION O REPLICADOR DE PUERTO, PARA CONVERTIR UN ORDENADOR PORTÁTIL EN UN EQUIPO DE SOBREMESA</t>
  </si>
  <si>
    <t>SERVICIO DE ALQUILER DE TECLADO</t>
  </si>
  <si>
    <t>SERVICIO DE ALQUILER DE MOUSE</t>
  </si>
  <si>
    <t>SERVICIO ARRENDAMIENTO DIADEMA CON MICROFONO INCORPORADO PARA USO DE COMPUTADORAS PORTÁTILES Y COMPUTADORAS DE ESCRITORIO</t>
  </si>
  <si>
    <t>SERVICIO DE ARRENDAMIENTO DE COMPUTADORAS PORTATILES TIPO MAC</t>
  </si>
  <si>
    <t>SERVICIO DE ARRENDAMIENTO DE IPAD</t>
  </si>
  <si>
    <t>2</t>
  </si>
  <si>
    <t>MOD. H03</t>
  </si>
  <si>
    <t>MODF. H03</t>
  </si>
  <si>
    <t>AUMENTA MOD. H03</t>
  </si>
  <si>
    <t>AUMENTO MOD. H03</t>
  </si>
  <si>
    <t>AUMENTA MOD. H003</t>
  </si>
  <si>
    <t>CAPACITACION Y PROTOCOLO</t>
  </si>
  <si>
    <t>ACTIVIDADES DE CAPACITACION</t>
  </si>
  <si>
    <t>SE INCLUYE MOD. H003</t>
  </si>
  <si>
    <t>AUMENTA MOD. H-3</t>
  </si>
  <si>
    <t>AUMENTA MOD H03</t>
  </si>
  <si>
    <t>KIT QUICK PASS</t>
  </si>
  <si>
    <t>II2022</t>
  </si>
  <si>
    <t>BIENES INTANGIBLES</t>
  </si>
  <si>
    <t>LICENCIAS DE TODO TIPO</t>
  </si>
  <si>
    <t>manfred</t>
  </si>
  <si>
    <t>Original</t>
  </si>
  <si>
    <t>Modificado</t>
  </si>
  <si>
    <t>Diferencia</t>
  </si>
  <si>
    <t>DIMINUYE MOD H03</t>
  </si>
  <si>
    <t>INDEMNIZACIONES</t>
  </si>
  <si>
    <t>N/D</t>
  </si>
  <si>
    <t>UND</t>
  </si>
  <si>
    <t>Descripcion</t>
  </si>
  <si>
    <t>Subpartida</t>
  </si>
  <si>
    <t xml:space="preserve">MINISTERIO DE AGRICULTURA Y GANADERÍA </t>
  </si>
  <si>
    <t>PROVEEDURÍA INSTITUCIONAL</t>
  </si>
  <si>
    <t>PROGRAMA -ACTIVIDADES CENTRALES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</si>
  <si>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El Plan de Compras aumenta en  30.300.000.00 con la modificacion DECRETO N43472-H, publicado en Alcance # 73 a La Gaceta # 68, el 8 de abril del 2022. 
La subpartida en indeminizaciones ,no se ve reflejada en el plan de compras.</t>
    </r>
  </si>
  <si>
    <t xml:space="preserve">SERVICIO DE MANTENIMIENTO Y RECARGA DE EXTINTORES </t>
  </si>
  <si>
    <t>REBAJA 221000</t>
  </si>
  <si>
    <t>REBAJA 179000</t>
  </si>
  <si>
    <t>3° MODIFICACIÓN PLAN ANUAL DE COMPRA 2022</t>
  </si>
  <si>
    <t>CUERDA DE NYLON</t>
  </si>
  <si>
    <t>REBAJA 400,000</t>
  </si>
  <si>
    <t>REBAJA 139,200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</si>
</sst>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₡&quot;#,##0.00"/>
    <numFmt numFmtId="167" formatCode="#,##0.00;[Red]#,##0.00"/>
    <numFmt numFmtId="168" formatCode="[$₡-140A]#,##0.00"/>
  </numFmts>
  <fonts count="16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2" applyFont="1" applyBorder="1"/>
    <xf numFmtId="164" fontId="6" fillId="3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2" applyFont="1" applyBorder="1"/>
    <xf numFmtId="164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1" fillId="5" borderId="2" xfId="0" applyFont="1" applyFill="1" applyBorder="1" applyAlignment="1">
      <alignment horizontal="center"/>
    </xf>
    <xf numFmtId="0" fontId="0" fillId="5" borderId="0" xfId="0" applyFont="1" applyFill="1" applyBorder="1"/>
    <xf numFmtId="3" fontId="0" fillId="7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2" borderId="0" xfId="0" applyNumberFormat="1" applyFont="1" applyFill="1" applyBorder="1"/>
    <xf numFmtId="43" fontId="0" fillId="2" borderId="0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3" fontId="0" fillId="8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166" fontId="0" fillId="2" borderId="0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0" fillId="5" borderId="2" xfId="0" applyFont="1" applyFill="1" applyBorder="1"/>
    <xf numFmtId="0" fontId="0" fillId="5" borderId="3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0" fillId="0" borderId="0" xfId="2" applyFont="1"/>
    <xf numFmtId="0" fontId="0" fillId="0" borderId="1" xfId="0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/>
    </xf>
    <xf numFmtId="164" fontId="0" fillId="0" borderId="1" xfId="2" applyFont="1" applyFill="1" applyBorder="1" applyAlignment="1">
      <alignment horizontal="center" vertical="center" wrapText="1"/>
    </xf>
    <xf numFmtId="164" fontId="8" fillId="0" borderId="1" xfId="2" applyFont="1" applyFill="1" applyBorder="1" applyAlignment="1">
      <alignment horizontal="center" vertical="center" wrapText="1"/>
    </xf>
    <xf numFmtId="164" fontId="12" fillId="5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12" fillId="0" borderId="1" xfId="2" applyFont="1" applyBorder="1"/>
    <xf numFmtId="0" fontId="1" fillId="2" borderId="0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Border="1"/>
    <xf numFmtId="164" fontId="0" fillId="2" borderId="0" xfId="0" applyNumberFormat="1" applyFont="1" applyFill="1" applyBorder="1"/>
    <xf numFmtId="0" fontId="1" fillId="5" borderId="0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center" wrapText="1"/>
    </xf>
    <xf numFmtId="0" fontId="0" fillId="2" borderId="13" xfId="0" applyFont="1" applyFill="1" applyBorder="1"/>
    <xf numFmtId="0" fontId="0" fillId="2" borderId="14" xfId="0" applyFont="1" applyFill="1" applyBorder="1"/>
    <xf numFmtId="164" fontId="0" fillId="2" borderId="0" xfId="0" applyNumberFormat="1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right" vertical="center" wrapText="1"/>
    </xf>
    <xf numFmtId="3" fontId="0" fillId="2" borderId="0" xfId="0" applyNumberFormat="1" applyFont="1" applyFill="1" applyBorder="1"/>
    <xf numFmtId="4" fontId="0" fillId="2" borderId="0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left"/>
    </xf>
    <xf numFmtId="43" fontId="2" fillId="6" borderId="1" xfId="3" applyFont="1" applyFill="1" applyBorder="1" applyAlignment="1">
      <alignment horizontal="right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4" fontId="2" fillId="2" borderId="1" xfId="3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quotePrefix="1" applyFon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43" fontId="2" fillId="2" borderId="1" xfId="3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0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2" fillId="2" borderId="1" xfId="3" quotePrefix="1" applyFont="1" applyFill="1" applyBorder="1" applyAlignment="1">
      <alignment horizontal="center" vertical="center" wrapText="1"/>
    </xf>
    <xf numFmtId="43" fontId="2" fillId="6" borderId="1" xfId="3" quotePrefix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right" vertical="center" wrapText="1"/>
    </xf>
    <xf numFmtId="43" fontId="2" fillId="2" borderId="0" xfId="3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67" fontId="0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65" fontId="0" fillId="0" borderId="1" xfId="0" quotePrefix="1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right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165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15" fillId="0" borderId="0" xfId="0" applyFont="1"/>
    <xf numFmtId="0" fontId="14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</cellXfs>
  <cellStyles count="5">
    <cellStyle name="Hipervínculo" xfId="4" builtinId="8"/>
    <cellStyle name="Millares" xfId="2" builtinId="3"/>
    <cellStyle name="Millares 2" xfId="1"/>
    <cellStyle name="Millares 3" xf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605234</xdr:colOff>
      <xdr:row>0</xdr:row>
      <xdr:rowOff>69453</xdr:rowOff>
    </xdr:from>
    <xdr:to>
      <xdr:col>7</xdr:col>
      <xdr:colOff>1021951</xdr:colOff>
      <xdr:row>4</xdr:row>
      <xdr:rowOff>49609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6015" y="69453"/>
          <a:ext cx="1954608" cy="132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206375</xdr:colOff>
      <xdr:row>6</xdr:row>
      <xdr:rowOff>115358</xdr:rowOff>
    </xdr:from>
    <xdr:to>
      <xdr:col>8</xdr:col>
      <xdr:colOff>652991</xdr:colOff>
      <xdr:row>11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950" y="1258358"/>
          <a:ext cx="3132666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Documents\Copia%20de%20PLAN%20DE%20COMPRAS%20RDCH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LorenaMag\AppData\Local\Microsoft\Windows\INetCache\Content.Outlook\BV1R1SQX\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AppData\Local\Microsoft\Windows\INetCache\Content.Outlook\86POB764\PLAN%20DE%20COMPRAS%20PROGRAMA%20169-2020%20ULTIM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1" displayName="Tabla1" ref="A1:B44" totalsRowShown="0" headerRowDxfId="3" dataDxfId="2">
  <autoFilter ref="A1:B44"/>
  <sortState ref="A2:B43">
    <sortCondition ref="A1:A43"/>
  </sortState>
  <tableColumns count="2">
    <tableColumn id="1" name="Subpartida" dataDxfId="1"/>
    <tableColumn id="2" name="Descripción del bien, servicio u obr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433"/>
  <sheetViews>
    <sheetView tabSelected="1" topLeftCell="A7" zoomScale="80" zoomScaleNormal="80" workbookViewId="0">
      <pane ySplit="10" topLeftCell="A428" activePane="bottomLeft" state="frozen"/>
      <selection activeCell="A7" sqref="A7"/>
      <selection pane="bottomLeft" activeCell="D265" sqref="D265"/>
    </sheetView>
  </sheetViews>
  <sheetFormatPr baseColWidth="10" defaultColWidth="11.42578125" defaultRowHeight="15" x14ac:dyDescent="0.25"/>
  <cols>
    <col min="1" max="1" width="22.85546875" style="43" customWidth="1"/>
    <col min="2" max="2" width="17.28515625" style="28" customWidth="1"/>
    <col min="3" max="3" width="20.85546875" style="28" customWidth="1"/>
    <col min="4" max="4" width="39.140625" style="44" customWidth="1"/>
    <col min="5" max="5" width="13.85546875" style="28" customWidth="1"/>
    <col min="6" max="6" width="17.85546875" style="28" customWidth="1"/>
    <col min="7" max="7" width="23" style="45" bestFit="1" customWidth="1"/>
    <col min="8" max="9" width="17.28515625" style="28" customWidth="1"/>
    <col min="10" max="10" width="24.28515625" style="28" hidden="1" customWidth="1"/>
    <col min="11" max="11" width="23.5703125" style="28" hidden="1" customWidth="1"/>
    <col min="12" max="12" width="12.7109375" style="28" hidden="1" customWidth="1"/>
    <col min="13" max="13" width="21" style="28" hidden="1" customWidth="1"/>
    <col min="14" max="14" width="0" style="28" hidden="1" customWidth="1"/>
    <col min="15" max="16384" width="11.42578125" style="28"/>
  </cols>
  <sheetData>
    <row r="1" spans="1:10" x14ac:dyDescent="0.25">
      <c r="A1" s="169" t="s">
        <v>337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x14ac:dyDescent="0.25">
      <c r="A2" s="169" t="s">
        <v>338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x14ac:dyDescent="0.25">
      <c r="A3" s="43" t="s">
        <v>339</v>
      </c>
      <c r="B3" s="168" t="s">
        <v>340</v>
      </c>
      <c r="C3" s="168"/>
      <c r="D3" s="168"/>
    </row>
    <row r="4" spans="1:10" x14ac:dyDescent="0.25">
      <c r="B4" s="70"/>
      <c r="C4" s="70"/>
      <c r="D4" s="70"/>
    </row>
    <row r="5" spans="1:10" x14ac:dyDescent="0.25">
      <c r="A5" s="79" t="s">
        <v>341</v>
      </c>
      <c r="B5" s="92">
        <v>16900</v>
      </c>
      <c r="C5" s="80" t="s">
        <v>342</v>
      </c>
      <c r="D5" s="81"/>
    </row>
    <row r="6" spans="1:10" x14ac:dyDescent="0.25">
      <c r="A6" s="29"/>
      <c r="B6" s="46"/>
      <c r="C6" s="47"/>
      <c r="D6" s="48"/>
      <c r="E6" s="30"/>
      <c r="F6" s="30"/>
      <c r="G6" s="49"/>
      <c r="H6" s="30"/>
      <c r="I6" s="30"/>
    </row>
    <row r="7" spans="1:10" x14ac:dyDescent="0.25">
      <c r="A7" s="169" t="s">
        <v>337</v>
      </c>
      <c r="B7" s="169"/>
      <c r="C7" s="169"/>
      <c r="D7" s="169"/>
      <c r="E7" s="169"/>
      <c r="F7" s="169"/>
      <c r="G7" s="169"/>
      <c r="H7" s="169"/>
      <c r="I7" s="169"/>
      <c r="J7" s="169"/>
    </row>
    <row r="8" spans="1:10" x14ac:dyDescent="0.25">
      <c r="A8" s="169" t="s">
        <v>338</v>
      </c>
      <c r="B8" s="169"/>
      <c r="C8" s="169"/>
      <c r="D8" s="169"/>
      <c r="E8" s="169"/>
      <c r="F8" s="169"/>
      <c r="G8" s="169"/>
      <c r="H8" s="169"/>
      <c r="I8" s="169"/>
      <c r="J8" s="169"/>
    </row>
    <row r="9" spans="1:10" x14ac:dyDescent="0.25">
      <c r="A9" s="43" t="s">
        <v>339</v>
      </c>
      <c r="B9" s="168" t="s">
        <v>413</v>
      </c>
      <c r="C9" s="168"/>
      <c r="D9" s="168"/>
    </row>
    <row r="10" spans="1:10" x14ac:dyDescent="0.25">
      <c r="B10" s="70" t="s">
        <v>414</v>
      </c>
      <c r="C10" s="70"/>
      <c r="D10" s="70"/>
    </row>
    <row r="11" spans="1:10" x14ac:dyDescent="0.25">
      <c r="B11" s="70"/>
      <c r="C11" s="70"/>
      <c r="D11" s="70"/>
    </row>
    <row r="12" spans="1:10" x14ac:dyDescent="0.25">
      <c r="A12" s="79" t="s">
        <v>341</v>
      </c>
      <c r="B12" s="92">
        <v>16900</v>
      </c>
      <c r="C12" s="80" t="s">
        <v>415</v>
      </c>
      <c r="D12" s="81"/>
    </row>
    <row r="13" spans="1:10" x14ac:dyDescent="0.25">
      <c r="A13" s="29"/>
      <c r="B13" s="46"/>
      <c r="C13" s="47"/>
      <c r="D13" s="48"/>
      <c r="E13" s="30"/>
      <c r="F13" s="30"/>
      <c r="G13" s="49"/>
      <c r="H13" s="30"/>
      <c r="I13" s="30"/>
    </row>
    <row r="14" spans="1:10" x14ac:dyDescent="0.25">
      <c r="A14" s="78" t="s">
        <v>420</v>
      </c>
      <c r="B14" s="30"/>
      <c r="C14" s="30"/>
      <c r="D14" s="48"/>
      <c r="E14" s="30"/>
      <c r="F14" s="30"/>
      <c r="G14" s="49"/>
      <c r="H14" s="30"/>
      <c r="I14" s="30"/>
    </row>
    <row r="15" spans="1:10" ht="15.75" thickBot="1" x14ac:dyDescent="0.3"/>
    <row r="16" spans="1:10" ht="45" x14ac:dyDescent="0.25">
      <c r="A16" s="93" t="s">
        <v>0</v>
      </c>
      <c r="B16" s="93" t="s">
        <v>1</v>
      </c>
      <c r="C16" s="93" t="s">
        <v>2</v>
      </c>
      <c r="D16" s="94" t="s">
        <v>3</v>
      </c>
      <c r="E16" s="93" t="s">
        <v>4</v>
      </c>
      <c r="F16" s="93" t="s">
        <v>5</v>
      </c>
      <c r="G16" s="93" t="s">
        <v>6</v>
      </c>
      <c r="H16" s="93" t="s">
        <v>7</v>
      </c>
      <c r="I16" s="95" t="s">
        <v>8</v>
      </c>
      <c r="J16" s="27" t="s">
        <v>142</v>
      </c>
    </row>
    <row r="17" spans="1:13" x14ac:dyDescent="0.25">
      <c r="A17" s="96">
        <v>169</v>
      </c>
      <c r="B17" s="97"/>
      <c r="C17" s="96"/>
      <c r="D17" s="98" t="s">
        <v>143</v>
      </c>
      <c r="E17" s="96"/>
      <c r="F17" s="96"/>
      <c r="G17" s="99">
        <f>+SUBTOTAL(9,G18:G19)</f>
        <v>13734000</v>
      </c>
      <c r="H17" s="97"/>
      <c r="I17" s="100"/>
      <c r="J17" s="31">
        <v>23734000</v>
      </c>
    </row>
    <row r="18" spans="1:13" ht="30" x14ac:dyDescent="0.25">
      <c r="A18" s="101">
        <v>169</v>
      </c>
      <c r="B18" s="102">
        <v>73159995</v>
      </c>
      <c r="C18" s="101">
        <v>10102</v>
      </c>
      <c r="D18" s="103" t="s">
        <v>143</v>
      </c>
      <c r="E18" s="101">
        <v>1</v>
      </c>
      <c r="F18" s="101" t="s">
        <v>20</v>
      </c>
      <c r="G18" s="104">
        <f>19468000-10000000</f>
        <v>9468000</v>
      </c>
      <c r="H18" s="105" t="s">
        <v>19</v>
      </c>
      <c r="I18" s="101" t="s">
        <v>246</v>
      </c>
      <c r="M18" s="28" t="s">
        <v>390</v>
      </c>
    </row>
    <row r="19" spans="1:13" ht="30" x14ac:dyDescent="0.25">
      <c r="A19" s="101">
        <v>169</v>
      </c>
      <c r="B19" s="102">
        <v>78111808</v>
      </c>
      <c r="C19" s="101">
        <v>10102</v>
      </c>
      <c r="D19" s="103" t="s">
        <v>144</v>
      </c>
      <c r="E19" s="101">
        <v>1</v>
      </c>
      <c r="F19" s="101" t="s">
        <v>20</v>
      </c>
      <c r="G19" s="104">
        <f>13000000-8734000</f>
        <v>4266000</v>
      </c>
      <c r="H19" s="105" t="s">
        <v>19</v>
      </c>
      <c r="I19" s="101" t="s">
        <v>331</v>
      </c>
      <c r="K19" s="28" t="s">
        <v>242</v>
      </c>
    </row>
    <row r="20" spans="1:13" x14ac:dyDescent="0.25">
      <c r="A20" s="106">
        <v>169</v>
      </c>
      <c r="B20" s="106"/>
      <c r="C20" s="106"/>
      <c r="D20" s="107" t="s">
        <v>21</v>
      </c>
      <c r="E20" s="106"/>
      <c r="F20" s="106" t="s">
        <v>20</v>
      </c>
      <c r="G20" s="99">
        <f>+SUBTOTAL(9,G21:G42)</f>
        <v>67000000</v>
      </c>
      <c r="H20" s="108" t="s">
        <v>19</v>
      </c>
      <c r="I20" s="109"/>
      <c r="J20" s="31">
        <v>57000000</v>
      </c>
    </row>
    <row r="21" spans="1:13" ht="30" x14ac:dyDescent="0.25">
      <c r="A21" s="110">
        <v>169</v>
      </c>
      <c r="B21" s="110">
        <v>81112401</v>
      </c>
      <c r="C21" s="110">
        <v>10103</v>
      </c>
      <c r="D21" s="111" t="s">
        <v>22</v>
      </c>
      <c r="E21" s="110">
        <v>2</v>
      </c>
      <c r="F21" s="110" t="s">
        <v>20</v>
      </c>
      <c r="G21" s="104">
        <f>21250000-14</f>
        <v>21249986</v>
      </c>
      <c r="H21" s="156" t="s">
        <v>19</v>
      </c>
      <c r="I21" s="117" t="s">
        <v>246</v>
      </c>
      <c r="K21" s="28" t="s">
        <v>242</v>
      </c>
      <c r="M21" s="28" t="s">
        <v>370</v>
      </c>
    </row>
    <row r="22" spans="1:13" ht="30" x14ac:dyDescent="0.25">
      <c r="A22" s="110">
        <v>169</v>
      </c>
      <c r="B22" s="110">
        <v>81112401</v>
      </c>
      <c r="C22" s="110">
        <v>10103</v>
      </c>
      <c r="D22" s="111" t="s">
        <v>22</v>
      </c>
      <c r="E22" s="110">
        <v>3</v>
      </c>
      <c r="F22" s="110" t="s">
        <v>20</v>
      </c>
      <c r="G22" s="104">
        <f>6250000</f>
        <v>6250000</v>
      </c>
      <c r="H22" s="112" t="s">
        <v>19</v>
      </c>
      <c r="I22" s="117" t="s">
        <v>335</v>
      </c>
      <c r="K22" s="28" t="s">
        <v>242</v>
      </c>
    </row>
    <row r="23" spans="1:13" ht="30" x14ac:dyDescent="0.25">
      <c r="A23" s="110">
        <v>169</v>
      </c>
      <c r="B23" s="110">
        <v>81112401</v>
      </c>
      <c r="C23" s="110">
        <v>10103</v>
      </c>
      <c r="D23" s="111" t="s">
        <v>22</v>
      </c>
      <c r="E23" s="110">
        <v>3</v>
      </c>
      <c r="F23" s="110" t="s">
        <v>20</v>
      </c>
      <c r="G23" s="104">
        <v>8750000</v>
      </c>
      <c r="H23" s="112" t="s">
        <v>19</v>
      </c>
      <c r="I23" s="117" t="s">
        <v>334</v>
      </c>
    </row>
    <row r="24" spans="1:13" ht="30" x14ac:dyDescent="0.25">
      <c r="A24" s="110">
        <v>169</v>
      </c>
      <c r="B24" s="110">
        <v>81112401</v>
      </c>
      <c r="C24" s="110">
        <v>10103</v>
      </c>
      <c r="D24" s="111" t="s">
        <v>22</v>
      </c>
      <c r="E24" s="110">
        <v>3</v>
      </c>
      <c r="F24" s="110" t="s">
        <v>20</v>
      </c>
      <c r="G24" s="104">
        <v>8750000</v>
      </c>
      <c r="H24" s="112" t="s">
        <v>19</v>
      </c>
      <c r="I24" s="117" t="s">
        <v>336</v>
      </c>
    </row>
    <row r="25" spans="1:13" ht="30" x14ac:dyDescent="0.25">
      <c r="A25" s="110">
        <v>169</v>
      </c>
      <c r="B25" s="110">
        <v>72151502</v>
      </c>
      <c r="C25" s="110">
        <v>10103</v>
      </c>
      <c r="D25" s="111" t="s">
        <v>373</v>
      </c>
      <c r="E25" s="110">
        <v>1</v>
      </c>
      <c r="F25" s="110" t="s">
        <v>20</v>
      </c>
      <c r="G25" s="104">
        <v>1</v>
      </c>
      <c r="H25" s="112" t="s">
        <v>19</v>
      </c>
      <c r="I25" s="117">
        <v>2023</v>
      </c>
      <c r="M25" s="28" t="s">
        <v>366</v>
      </c>
    </row>
    <row r="26" spans="1:13" ht="30" x14ac:dyDescent="0.25">
      <c r="A26" s="110">
        <v>169</v>
      </c>
      <c r="B26" s="110">
        <v>81112401</v>
      </c>
      <c r="C26" s="110">
        <v>10103</v>
      </c>
      <c r="D26" s="111" t="s">
        <v>375</v>
      </c>
      <c r="E26" s="110">
        <v>1</v>
      </c>
      <c r="F26" s="110" t="s">
        <v>20</v>
      </c>
      <c r="G26" s="104">
        <v>1</v>
      </c>
      <c r="H26" s="112" t="s">
        <v>19</v>
      </c>
      <c r="I26" s="117">
        <v>2023</v>
      </c>
      <c r="M26" s="28" t="s">
        <v>366</v>
      </c>
    </row>
    <row r="27" spans="1:13" ht="45" x14ac:dyDescent="0.25">
      <c r="A27" s="110">
        <v>169</v>
      </c>
      <c r="B27" s="110">
        <v>81112401</v>
      </c>
      <c r="C27" s="110">
        <v>10103</v>
      </c>
      <c r="D27" s="111" t="s">
        <v>376</v>
      </c>
      <c r="E27" s="110">
        <v>1</v>
      </c>
      <c r="F27" s="110" t="s">
        <v>20</v>
      </c>
      <c r="G27" s="104">
        <v>1</v>
      </c>
      <c r="H27" s="112" t="s">
        <v>19</v>
      </c>
      <c r="I27" s="117">
        <v>2023</v>
      </c>
      <c r="M27" s="28" t="s">
        <v>366</v>
      </c>
    </row>
    <row r="28" spans="1:13" ht="30" x14ac:dyDescent="0.25">
      <c r="A28" s="110">
        <v>169</v>
      </c>
      <c r="B28" s="110">
        <v>81112401</v>
      </c>
      <c r="C28" s="110">
        <v>10103</v>
      </c>
      <c r="D28" s="111" t="s">
        <v>377</v>
      </c>
      <c r="E28" s="110">
        <v>1</v>
      </c>
      <c r="F28" s="110" t="s">
        <v>20</v>
      </c>
      <c r="G28" s="104">
        <v>1</v>
      </c>
      <c r="H28" s="112" t="s">
        <v>19</v>
      </c>
      <c r="I28" s="117">
        <v>2023</v>
      </c>
      <c r="M28" s="28" t="s">
        <v>366</v>
      </c>
    </row>
    <row r="29" spans="1:13" ht="30" x14ac:dyDescent="0.25">
      <c r="A29" s="110">
        <v>169</v>
      </c>
      <c r="B29" s="110">
        <v>81112401</v>
      </c>
      <c r="C29" s="110">
        <v>10103</v>
      </c>
      <c r="D29" s="111" t="s">
        <v>378</v>
      </c>
      <c r="E29" s="110">
        <v>1</v>
      </c>
      <c r="F29" s="110" t="s">
        <v>20</v>
      </c>
      <c r="G29" s="104">
        <v>1</v>
      </c>
      <c r="H29" s="112" t="s">
        <v>19</v>
      </c>
      <c r="I29" s="117">
        <v>2023</v>
      </c>
      <c r="M29" s="28" t="s">
        <v>366</v>
      </c>
    </row>
    <row r="30" spans="1:13" ht="30" x14ac:dyDescent="0.25">
      <c r="A30" s="110">
        <v>169</v>
      </c>
      <c r="B30" s="110">
        <v>81112401</v>
      </c>
      <c r="C30" s="110">
        <v>10103</v>
      </c>
      <c r="D30" s="111" t="s">
        <v>379</v>
      </c>
      <c r="E30" s="110">
        <v>1</v>
      </c>
      <c r="F30" s="110" t="s">
        <v>20</v>
      </c>
      <c r="G30" s="104">
        <v>1</v>
      </c>
      <c r="H30" s="112" t="s">
        <v>19</v>
      </c>
      <c r="I30" s="117">
        <v>2023</v>
      </c>
      <c r="M30" s="28" t="s">
        <v>366</v>
      </c>
    </row>
    <row r="31" spans="1:13" ht="30" x14ac:dyDescent="0.25">
      <c r="A31" s="110">
        <v>169</v>
      </c>
      <c r="B31" s="110">
        <v>81112401</v>
      </c>
      <c r="C31" s="110">
        <v>10103</v>
      </c>
      <c r="D31" s="111" t="s">
        <v>380</v>
      </c>
      <c r="E31" s="110">
        <v>1</v>
      </c>
      <c r="F31" s="110" t="s">
        <v>20</v>
      </c>
      <c r="G31" s="104">
        <v>1</v>
      </c>
      <c r="H31" s="112" t="s">
        <v>19</v>
      </c>
      <c r="I31" s="117">
        <v>2023</v>
      </c>
      <c r="M31" s="28" t="s">
        <v>366</v>
      </c>
    </row>
    <row r="32" spans="1:13" ht="45" x14ac:dyDescent="0.25">
      <c r="A32" s="110">
        <v>169</v>
      </c>
      <c r="B32" s="110">
        <v>81112401</v>
      </c>
      <c r="C32" s="110">
        <v>10103</v>
      </c>
      <c r="D32" s="111" t="s">
        <v>381</v>
      </c>
      <c r="E32" s="110">
        <v>1</v>
      </c>
      <c r="F32" s="110" t="s">
        <v>20</v>
      </c>
      <c r="G32" s="104">
        <v>1</v>
      </c>
      <c r="H32" s="112" t="s">
        <v>19</v>
      </c>
      <c r="I32" s="117">
        <v>2023</v>
      </c>
      <c r="M32" s="28" t="s">
        <v>366</v>
      </c>
    </row>
    <row r="33" spans="1:13" ht="75" x14ac:dyDescent="0.25">
      <c r="A33" s="110">
        <v>169</v>
      </c>
      <c r="B33" s="110">
        <v>81112401</v>
      </c>
      <c r="C33" s="110">
        <v>10103</v>
      </c>
      <c r="D33" s="111" t="s">
        <v>382</v>
      </c>
      <c r="E33" s="110">
        <v>1</v>
      </c>
      <c r="F33" s="110" t="s">
        <v>20</v>
      </c>
      <c r="G33" s="104">
        <v>1</v>
      </c>
      <c r="H33" s="112" t="s">
        <v>19</v>
      </c>
      <c r="I33" s="117">
        <v>2023</v>
      </c>
      <c r="M33" s="28" t="s">
        <v>366</v>
      </c>
    </row>
    <row r="34" spans="1:13" x14ac:dyDescent="0.25">
      <c r="A34" s="110">
        <v>169</v>
      </c>
      <c r="B34" s="110">
        <v>81112401</v>
      </c>
      <c r="C34" s="110">
        <v>10103</v>
      </c>
      <c r="D34" s="111" t="s">
        <v>383</v>
      </c>
      <c r="E34" s="110">
        <v>1</v>
      </c>
      <c r="F34" s="110" t="s">
        <v>20</v>
      </c>
      <c r="G34" s="104">
        <v>1</v>
      </c>
      <c r="H34" s="112" t="s">
        <v>19</v>
      </c>
      <c r="I34" s="117">
        <v>2023</v>
      </c>
      <c r="M34" s="28" t="s">
        <v>366</v>
      </c>
    </row>
    <row r="35" spans="1:13" x14ac:dyDescent="0.25">
      <c r="A35" s="110">
        <v>169</v>
      </c>
      <c r="B35" s="110">
        <v>81112401</v>
      </c>
      <c r="C35" s="110">
        <v>10103</v>
      </c>
      <c r="D35" s="111" t="s">
        <v>384</v>
      </c>
      <c r="E35" s="110">
        <v>1</v>
      </c>
      <c r="F35" s="110" t="s">
        <v>20</v>
      </c>
      <c r="G35" s="104">
        <v>1</v>
      </c>
      <c r="H35" s="112" t="s">
        <v>19</v>
      </c>
      <c r="I35" s="117">
        <v>2023</v>
      </c>
      <c r="M35" s="28" t="s">
        <v>366</v>
      </c>
    </row>
    <row r="36" spans="1:13" ht="60" x14ac:dyDescent="0.25">
      <c r="A36" s="110">
        <v>169</v>
      </c>
      <c r="B36" s="110">
        <v>81112401</v>
      </c>
      <c r="C36" s="110">
        <v>10103</v>
      </c>
      <c r="D36" s="111" t="s">
        <v>385</v>
      </c>
      <c r="E36" s="110">
        <v>1</v>
      </c>
      <c r="F36" s="110" t="s">
        <v>20</v>
      </c>
      <c r="G36" s="104">
        <v>1</v>
      </c>
      <c r="H36" s="112" t="s">
        <v>19</v>
      </c>
      <c r="I36" s="117">
        <v>2023</v>
      </c>
      <c r="M36" s="28" t="s">
        <v>366</v>
      </c>
    </row>
    <row r="37" spans="1:13" ht="30" x14ac:dyDescent="0.25">
      <c r="A37" s="110">
        <v>169</v>
      </c>
      <c r="B37" s="110">
        <v>81112401</v>
      </c>
      <c r="C37" s="110">
        <v>10103</v>
      </c>
      <c r="D37" s="111" t="s">
        <v>386</v>
      </c>
      <c r="E37" s="110">
        <v>1</v>
      </c>
      <c r="F37" s="110" t="s">
        <v>20</v>
      </c>
      <c r="G37" s="104">
        <v>1</v>
      </c>
      <c r="H37" s="112" t="s">
        <v>19</v>
      </c>
      <c r="I37" s="117">
        <v>2023</v>
      </c>
      <c r="M37" s="28" t="s">
        <v>366</v>
      </c>
    </row>
    <row r="38" spans="1:13" x14ac:dyDescent="0.25">
      <c r="A38" s="110">
        <v>169</v>
      </c>
      <c r="B38" s="110">
        <v>81112401</v>
      </c>
      <c r="C38" s="110">
        <v>10103</v>
      </c>
      <c r="D38" s="111" t="s">
        <v>387</v>
      </c>
      <c r="E38" s="110">
        <v>1</v>
      </c>
      <c r="F38" s="110" t="s">
        <v>20</v>
      </c>
      <c r="G38" s="104">
        <v>1</v>
      </c>
      <c r="H38" s="112" t="s">
        <v>19</v>
      </c>
      <c r="I38" s="117">
        <v>2023</v>
      </c>
      <c r="M38" s="28" t="s">
        <v>366</v>
      </c>
    </row>
    <row r="39" spans="1:13" ht="30" x14ac:dyDescent="0.25">
      <c r="A39" s="110">
        <v>169</v>
      </c>
      <c r="B39" s="110">
        <v>81112499</v>
      </c>
      <c r="C39" s="110">
        <v>10103</v>
      </c>
      <c r="D39" s="111" t="s">
        <v>23</v>
      </c>
      <c r="E39" s="110">
        <v>3</v>
      </c>
      <c r="F39" s="110" t="s">
        <v>20</v>
      </c>
      <c r="G39" s="113">
        <v>5500000</v>
      </c>
      <c r="H39" s="112" t="s">
        <v>19</v>
      </c>
      <c r="I39" s="117" t="s">
        <v>246</v>
      </c>
    </row>
    <row r="40" spans="1:13" ht="30" x14ac:dyDescent="0.25">
      <c r="A40" s="110">
        <v>169</v>
      </c>
      <c r="B40" s="110">
        <v>81112499</v>
      </c>
      <c r="C40" s="110">
        <v>10103</v>
      </c>
      <c r="D40" s="111" t="s">
        <v>23</v>
      </c>
      <c r="E40" s="110">
        <v>3</v>
      </c>
      <c r="F40" s="110" t="s">
        <v>20</v>
      </c>
      <c r="G40" s="113">
        <v>5500000</v>
      </c>
      <c r="H40" s="112" t="s">
        <v>19</v>
      </c>
      <c r="I40" s="117" t="s">
        <v>246</v>
      </c>
    </row>
    <row r="41" spans="1:13" ht="30" x14ac:dyDescent="0.25">
      <c r="A41" s="110">
        <v>169</v>
      </c>
      <c r="B41" s="110">
        <v>81112499</v>
      </c>
      <c r="C41" s="110">
        <v>10103</v>
      </c>
      <c r="D41" s="111" t="s">
        <v>23</v>
      </c>
      <c r="E41" s="110">
        <v>3</v>
      </c>
      <c r="F41" s="110" t="s">
        <v>20</v>
      </c>
      <c r="G41" s="113">
        <v>5500000</v>
      </c>
      <c r="H41" s="112" t="s">
        <v>19</v>
      </c>
      <c r="I41" s="117" t="s">
        <v>335</v>
      </c>
    </row>
    <row r="42" spans="1:13" ht="30" x14ac:dyDescent="0.25">
      <c r="A42" s="110">
        <v>169</v>
      </c>
      <c r="B42" s="110">
        <v>81112499</v>
      </c>
      <c r="C42" s="110">
        <v>10103</v>
      </c>
      <c r="D42" s="111" t="s">
        <v>23</v>
      </c>
      <c r="E42" s="110">
        <v>3</v>
      </c>
      <c r="F42" s="110" t="s">
        <v>20</v>
      </c>
      <c r="G42" s="113">
        <v>5500000</v>
      </c>
      <c r="H42" s="112" t="s">
        <v>19</v>
      </c>
      <c r="I42" s="117" t="s">
        <v>334</v>
      </c>
    </row>
    <row r="43" spans="1:13" x14ac:dyDescent="0.25">
      <c r="A43" s="106">
        <v>169</v>
      </c>
      <c r="B43" s="106"/>
      <c r="C43" s="106"/>
      <c r="D43" s="107" t="s">
        <v>145</v>
      </c>
      <c r="E43" s="106"/>
      <c r="F43" s="106"/>
      <c r="G43" s="114">
        <f>+SUBTOTAL(9,G44:G47)</f>
        <v>163734000</v>
      </c>
      <c r="H43" s="108" t="s">
        <v>19</v>
      </c>
      <c r="I43" s="106"/>
      <c r="J43" s="31">
        <v>103734000</v>
      </c>
      <c r="M43" s="28" t="s">
        <v>389</v>
      </c>
    </row>
    <row r="44" spans="1:13" x14ac:dyDescent="0.25">
      <c r="A44" s="110">
        <v>169</v>
      </c>
      <c r="B44" s="110">
        <v>83101509</v>
      </c>
      <c r="C44" s="110">
        <v>10201</v>
      </c>
      <c r="D44" s="111" t="s">
        <v>145</v>
      </c>
      <c r="E44" s="110">
        <v>1</v>
      </c>
      <c r="F44" s="110" t="s">
        <v>20</v>
      </c>
      <c r="G44" s="113">
        <v>25933500</v>
      </c>
      <c r="H44" s="112" t="s">
        <v>19</v>
      </c>
      <c r="I44" s="101" t="s">
        <v>246</v>
      </c>
    </row>
    <row r="45" spans="1:13" x14ac:dyDescent="0.25">
      <c r="A45" s="110">
        <v>169</v>
      </c>
      <c r="B45" s="110">
        <v>83101509</v>
      </c>
      <c r="C45" s="110">
        <v>10201</v>
      </c>
      <c r="D45" s="111" t="s">
        <v>145</v>
      </c>
      <c r="E45" s="110">
        <v>1</v>
      </c>
      <c r="F45" s="110" t="s">
        <v>20</v>
      </c>
      <c r="G45" s="113">
        <f>25933500+60000000</f>
        <v>85933500</v>
      </c>
      <c r="H45" s="112" t="s">
        <v>19</v>
      </c>
      <c r="I45" s="101" t="s">
        <v>335</v>
      </c>
      <c r="M45" s="28" t="s">
        <v>391</v>
      </c>
    </row>
    <row r="46" spans="1:13" x14ac:dyDescent="0.25">
      <c r="A46" s="110">
        <v>169</v>
      </c>
      <c r="B46" s="110">
        <v>83101509</v>
      </c>
      <c r="C46" s="110">
        <v>10201</v>
      </c>
      <c r="D46" s="111" t="s">
        <v>145</v>
      </c>
      <c r="E46" s="110">
        <v>1</v>
      </c>
      <c r="F46" s="110" t="s">
        <v>20</v>
      </c>
      <c r="G46" s="113">
        <v>25933500</v>
      </c>
      <c r="H46" s="112" t="s">
        <v>19</v>
      </c>
      <c r="I46" s="101" t="s">
        <v>334</v>
      </c>
    </row>
    <row r="47" spans="1:13" x14ac:dyDescent="0.25">
      <c r="A47" s="110">
        <v>169</v>
      </c>
      <c r="B47" s="110">
        <v>83101509</v>
      </c>
      <c r="C47" s="110">
        <v>10201</v>
      </c>
      <c r="D47" s="111" t="s">
        <v>145</v>
      </c>
      <c r="E47" s="110">
        <v>1</v>
      </c>
      <c r="F47" s="110" t="s">
        <v>20</v>
      </c>
      <c r="G47" s="113">
        <v>25933500</v>
      </c>
      <c r="H47" s="112" t="s">
        <v>19</v>
      </c>
      <c r="I47" s="101" t="s">
        <v>336</v>
      </c>
    </row>
    <row r="48" spans="1:13" x14ac:dyDescent="0.25">
      <c r="A48" s="106">
        <v>169</v>
      </c>
      <c r="B48" s="106"/>
      <c r="C48" s="106"/>
      <c r="D48" s="107" t="s">
        <v>146</v>
      </c>
      <c r="E48" s="106"/>
      <c r="F48" s="106"/>
      <c r="G48" s="114">
        <f>+SUBTOTAL(9,G49:G52)</f>
        <v>111846000</v>
      </c>
      <c r="H48" s="108" t="s">
        <v>19</v>
      </c>
      <c r="I48" s="106"/>
      <c r="J48" s="31">
        <v>196846000</v>
      </c>
    </row>
    <row r="49" spans="1:13" x14ac:dyDescent="0.25">
      <c r="A49" s="110">
        <v>169</v>
      </c>
      <c r="B49" s="110">
        <v>73171501</v>
      </c>
      <c r="C49" s="110">
        <v>10202</v>
      </c>
      <c r="D49" s="111" t="s">
        <v>146</v>
      </c>
      <c r="E49" s="110">
        <v>1</v>
      </c>
      <c r="F49" s="110" t="s">
        <v>20</v>
      </c>
      <c r="G49" s="113">
        <f>49211500-25000000</f>
        <v>24211500</v>
      </c>
      <c r="H49" s="112" t="s">
        <v>19</v>
      </c>
      <c r="I49" s="101" t="s">
        <v>246</v>
      </c>
    </row>
    <row r="50" spans="1:13" x14ac:dyDescent="0.25">
      <c r="A50" s="110">
        <v>169</v>
      </c>
      <c r="B50" s="110">
        <v>73171501</v>
      </c>
      <c r="C50" s="110">
        <v>10202</v>
      </c>
      <c r="D50" s="111" t="s">
        <v>146</v>
      </c>
      <c r="E50" s="110">
        <v>1</v>
      </c>
      <c r="F50" s="110" t="s">
        <v>20</v>
      </c>
      <c r="G50" s="113">
        <f>49211500-20000000</f>
        <v>29211500</v>
      </c>
      <c r="H50" s="112" t="s">
        <v>19</v>
      </c>
      <c r="I50" s="101" t="s">
        <v>335</v>
      </c>
    </row>
    <row r="51" spans="1:13" x14ac:dyDescent="0.25">
      <c r="A51" s="110">
        <v>169</v>
      </c>
      <c r="B51" s="110">
        <v>73171501</v>
      </c>
      <c r="C51" s="110">
        <v>10202</v>
      </c>
      <c r="D51" s="111" t="s">
        <v>146</v>
      </c>
      <c r="E51" s="110">
        <v>1</v>
      </c>
      <c r="F51" s="110" t="s">
        <v>20</v>
      </c>
      <c r="G51" s="113">
        <f t="shared" ref="G51:G52" si="0">49211500-20000000</f>
        <v>29211500</v>
      </c>
      <c r="H51" s="112" t="s">
        <v>19</v>
      </c>
      <c r="I51" s="101" t="s">
        <v>334</v>
      </c>
      <c r="K51" s="28" t="s">
        <v>242</v>
      </c>
    </row>
    <row r="52" spans="1:13" x14ac:dyDescent="0.25">
      <c r="A52" s="110">
        <v>169</v>
      </c>
      <c r="B52" s="110">
        <v>73171501</v>
      </c>
      <c r="C52" s="110">
        <v>10202</v>
      </c>
      <c r="D52" s="111" t="s">
        <v>146</v>
      </c>
      <c r="E52" s="110">
        <v>1</v>
      </c>
      <c r="F52" s="110" t="s">
        <v>20</v>
      </c>
      <c r="G52" s="113">
        <f t="shared" si="0"/>
        <v>29211500</v>
      </c>
      <c r="H52" s="112" t="s">
        <v>19</v>
      </c>
      <c r="I52" s="101" t="s">
        <v>336</v>
      </c>
      <c r="K52" s="28" t="s">
        <v>242</v>
      </c>
    </row>
    <row r="53" spans="1:13" x14ac:dyDescent="0.25">
      <c r="A53" s="106">
        <v>169</v>
      </c>
      <c r="B53" s="106"/>
      <c r="C53" s="106"/>
      <c r="D53" s="107" t="s">
        <v>247</v>
      </c>
      <c r="E53" s="106"/>
      <c r="F53" s="106"/>
      <c r="G53" s="114">
        <f>+SUBTOTAL(9,G54)</f>
        <v>4500000</v>
      </c>
      <c r="H53" s="108" t="s">
        <v>19</v>
      </c>
      <c r="I53" s="106" t="s">
        <v>246</v>
      </c>
    </row>
    <row r="54" spans="1:13" x14ac:dyDescent="0.25">
      <c r="A54" s="110">
        <v>169</v>
      </c>
      <c r="B54" s="110">
        <v>73171502</v>
      </c>
      <c r="C54" s="110">
        <v>10203</v>
      </c>
      <c r="D54" s="111" t="s">
        <v>247</v>
      </c>
      <c r="E54" s="110">
        <v>1</v>
      </c>
      <c r="F54" s="110" t="s">
        <v>20</v>
      </c>
      <c r="G54" s="113">
        <f>3000000+1500000</f>
        <v>4500000</v>
      </c>
      <c r="H54" s="112" t="s">
        <v>19</v>
      </c>
      <c r="I54" s="101" t="s">
        <v>246</v>
      </c>
      <c r="M54" s="28" t="s">
        <v>391</v>
      </c>
    </row>
    <row r="55" spans="1:13" x14ac:dyDescent="0.25">
      <c r="A55" s="106">
        <v>169</v>
      </c>
      <c r="B55" s="106"/>
      <c r="C55" s="106"/>
      <c r="D55" s="107" t="s">
        <v>147</v>
      </c>
      <c r="E55" s="106"/>
      <c r="F55" s="106"/>
      <c r="G55" s="114">
        <f>+SUBTOTAL(9,G56:G59)</f>
        <v>357000000</v>
      </c>
      <c r="H55" s="108" t="s">
        <v>19</v>
      </c>
      <c r="I55" s="106"/>
      <c r="J55" s="31">
        <v>460000000</v>
      </c>
    </row>
    <row r="56" spans="1:13" x14ac:dyDescent="0.25">
      <c r="A56" s="110">
        <v>169</v>
      </c>
      <c r="B56" s="110">
        <v>81161703</v>
      </c>
      <c r="C56" s="110">
        <v>10204</v>
      </c>
      <c r="D56" s="111" t="s">
        <v>147</v>
      </c>
      <c r="E56" s="110">
        <v>1</v>
      </c>
      <c r="F56" s="110" t="s">
        <v>20</v>
      </c>
      <c r="G56" s="113">
        <f>115000000-63000000</f>
        <v>52000000</v>
      </c>
      <c r="H56" s="112" t="s">
        <v>19</v>
      </c>
      <c r="I56" s="101" t="s">
        <v>246</v>
      </c>
      <c r="M56" s="28" t="s">
        <v>389</v>
      </c>
    </row>
    <row r="57" spans="1:13" x14ac:dyDescent="0.25">
      <c r="A57" s="110">
        <v>169</v>
      </c>
      <c r="B57" s="110">
        <v>81161703</v>
      </c>
      <c r="C57" s="110">
        <v>10204</v>
      </c>
      <c r="D57" s="111" t="s">
        <v>147</v>
      </c>
      <c r="E57" s="110">
        <v>1</v>
      </c>
      <c r="F57" s="110" t="s">
        <v>20</v>
      </c>
      <c r="G57" s="113">
        <v>115000000</v>
      </c>
      <c r="H57" s="112" t="s">
        <v>19</v>
      </c>
      <c r="I57" s="101" t="s">
        <v>335</v>
      </c>
    </row>
    <row r="58" spans="1:13" x14ac:dyDescent="0.25">
      <c r="A58" s="110">
        <v>169</v>
      </c>
      <c r="B58" s="110">
        <v>81161703</v>
      </c>
      <c r="C58" s="110">
        <v>10204</v>
      </c>
      <c r="D58" s="111" t="s">
        <v>147</v>
      </c>
      <c r="E58" s="110">
        <v>1</v>
      </c>
      <c r="F58" s="110" t="s">
        <v>20</v>
      </c>
      <c r="G58" s="113">
        <v>95000000</v>
      </c>
      <c r="H58" s="112" t="s">
        <v>19</v>
      </c>
      <c r="I58" s="101" t="s">
        <v>334</v>
      </c>
      <c r="K58" s="28" t="s">
        <v>242</v>
      </c>
    </row>
    <row r="59" spans="1:13" x14ac:dyDescent="0.25">
      <c r="A59" s="110">
        <v>169</v>
      </c>
      <c r="B59" s="110">
        <v>81161703</v>
      </c>
      <c r="C59" s="110">
        <v>10204</v>
      </c>
      <c r="D59" s="111" t="s">
        <v>147</v>
      </c>
      <c r="E59" s="110">
        <v>1</v>
      </c>
      <c r="F59" s="110" t="s">
        <v>20</v>
      </c>
      <c r="G59" s="113">
        <v>95000000</v>
      </c>
      <c r="H59" s="112" t="s">
        <v>19</v>
      </c>
      <c r="I59" s="101" t="s">
        <v>336</v>
      </c>
      <c r="K59" s="28" t="s">
        <v>242</v>
      </c>
    </row>
    <row r="60" spans="1:13" x14ac:dyDescent="0.25">
      <c r="A60" s="106">
        <v>169</v>
      </c>
      <c r="B60" s="106"/>
      <c r="C60" s="106"/>
      <c r="D60" s="107" t="s">
        <v>148</v>
      </c>
      <c r="E60" s="106"/>
      <c r="F60" s="106"/>
      <c r="G60" s="114">
        <f>+SUBTOTAL(9,G61:G72)</f>
        <v>14410000</v>
      </c>
      <c r="H60" s="108" t="s">
        <v>19</v>
      </c>
      <c r="I60" s="106"/>
      <c r="J60" s="31">
        <v>7910000</v>
      </c>
    </row>
    <row r="61" spans="1:13" x14ac:dyDescent="0.25">
      <c r="A61" s="110">
        <v>169</v>
      </c>
      <c r="B61" s="110">
        <v>76121507</v>
      </c>
      <c r="C61" s="110">
        <v>10299</v>
      </c>
      <c r="D61" s="111" t="s">
        <v>149</v>
      </c>
      <c r="E61" s="110">
        <v>4</v>
      </c>
      <c r="F61" s="110" t="s">
        <v>20</v>
      </c>
      <c r="G61" s="113">
        <v>1072500</v>
      </c>
      <c r="H61" s="112" t="s">
        <v>19</v>
      </c>
      <c r="I61" s="101" t="s">
        <v>246</v>
      </c>
    </row>
    <row r="62" spans="1:13" x14ac:dyDescent="0.25">
      <c r="A62" s="110">
        <v>169</v>
      </c>
      <c r="B62" s="110">
        <v>76121507</v>
      </c>
      <c r="C62" s="110">
        <v>10299</v>
      </c>
      <c r="D62" s="111" t="s">
        <v>149</v>
      </c>
      <c r="E62" s="110">
        <v>4</v>
      </c>
      <c r="F62" s="110" t="s">
        <v>20</v>
      </c>
      <c r="G62" s="113">
        <f>1072500+6500000</f>
        <v>7572500</v>
      </c>
      <c r="H62" s="112" t="s">
        <v>19</v>
      </c>
      <c r="I62" s="101" t="s">
        <v>335</v>
      </c>
    </row>
    <row r="63" spans="1:13" x14ac:dyDescent="0.25">
      <c r="A63" s="110">
        <v>169</v>
      </c>
      <c r="B63" s="110">
        <v>76121507</v>
      </c>
      <c r="C63" s="110">
        <v>10299</v>
      </c>
      <c r="D63" s="111" t="s">
        <v>149</v>
      </c>
      <c r="E63" s="110">
        <v>4</v>
      </c>
      <c r="F63" s="110" t="s">
        <v>20</v>
      </c>
      <c r="G63" s="113">
        <v>1072500</v>
      </c>
      <c r="H63" s="112" t="s">
        <v>19</v>
      </c>
      <c r="I63" s="101" t="s">
        <v>334</v>
      </c>
      <c r="K63" s="28" t="s">
        <v>243</v>
      </c>
    </row>
    <row r="64" spans="1:13" x14ac:dyDescent="0.25">
      <c r="A64" s="110">
        <v>169</v>
      </c>
      <c r="B64" s="110">
        <v>76121507</v>
      </c>
      <c r="C64" s="110">
        <v>10299</v>
      </c>
      <c r="D64" s="111" t="s">
        <v>149</v>
      </c>
      <c r="E64" s="110">
        <v>4</v>
      </c>
      <c r="F64" s="110" t="s">
        <v>20</v>
      </c>
      <c r="G64" s="113">
        <v>1072500</v>
      </c>
      <c r="H64" s="112" t="s">
        <v>19</v>
      </c>
      <c r="I64" s="101" t="s">
        <v>336</v>
      </c>
      <c r="K64" s="28" t="s">
        <v>243</v>
      </c>
    </row>
    <row r="65" spans="1:12" ht="30" x14ac:dyDescent="0.25">
      <c r="A65" s="110">
        <v>169</v>
      </c>
      <c r="B65" s="110">
        <v>76121901</v>
      </c>
      <c r="C65" s="110">
        <v>10299</v>
      </c>
      <c r="D65" s="111" t="s">
        <v>150</v>
      </c>
      <c r="E65" s="110">
        <v>4</v>
      </c>
      <c r="F65" s="110" t="s">
        <v>20</v>
      </c>
      <c r="G65" s="113">
        <v>114000</v>
      </c>
      <c r="H65" s="112" t="s">
        <v>19</v>
      </c>
      <c r="I65" s="101" t="s">
        <v>246</v>
      </c>
    </row>
    <row r="66" spans="1:12" ht="30" x14ac:dyDescent="0.25">
      <c r="A66" s="110">
        <v>169</v>
      </c>
      <c r="B66" s="110">
        <v>76121901</v>
      </c>
      <c r="C66" s="110">
        <v>10299</v>
      </c>
      <c r="D66" s="111" t="s">
        <v>150</v>
      </c>
      <c r="E66" s="110">
        <v>4</v>
      </c>
      <c r="F66" s="110" t="s">
        <v>20</v>
      </c>
      <c r="G66" s="113">
        <v>114000</v>
      </c>
      <c r="H66" s="112" t="s">
        <v>19</v>
      </c>
      <c r="I66" s="101" t="s">
        <v>335</v>
      </c>
    </row>
    <row r="67" spans="1:12" ht="30" x14ac:dyDescent="0.25">
      <c r="A67" s="110">
        <v>169</v>
      </c>
      <c r="B67" s="110">
        <v>76121901</v>
      </c>
      <c r="C67" s="110">
        <v>10299</v>
      </c>
      <c r="D67" s="111" t="s">
        <v>150</v>
      </c>
      <c r="E67" s="110">
        <v>4</v>
      </c>
      <c r="F67" s="110" t="s">
        <v>20</v>
      </c>
      <c r="G67" s="113">
        <v>114000</v>
      </c>
      <c r="H67" s="112" t="s">
        <v>19</v>
      </c>
      <c r="I67" s="101" t="s">
        <v>334</v>
      </c>
    </row>
    <row r="68" spans="1:12" ht="30" x14ac:dyDescent="0.25">
      <c r="A68" s="110">
        <v>169</v>
      </c>
      <c r="B68" s="110">
        <v>76121901</v>
      </c>
      <c r="C68" s="110">
        <v>10299</v>
      </c>
      <c r="D68" s="111" t="s">
        <v>150</v>
      </c>
      <c r="E68" s="110">
        <v>4</v>
      </c>
      <c r="F68" s="110" t="s">
        <v>20</v>
      </c>
      <c r="G68" s="113">
        <v>114000</v>
      </c>
      <c r="H68" s="112" t="s">
        <v>19</v>
      </c>
      <c r="I68" s="101" t="s">
        <v>336</v>
      </c>
    </row>
    <row r="69" spans="1:12" ht="30" x14ac:dyDescent="0.25">
      <c r="A69" s="110">
        <v>169</v>
      </c>
      <c r="B69" s="110">
        <v>76121501</v>
      </c>
      <c r="C69" s="110">
        <v>10299</v>
      </c>
      <c r="D69" s="111" t="s">
        <v>151</v>
      </c>
      <c r="E69" s="110">
        <v>4</v>
      </c>
      <c r="F69" s="110" t="s">
        <v>20</v>
      </c>
      <c r="G69" s="113">
        <v>800000</v>
      </c>
      <c r="H69" s="112" t="s">
        <v>19</v>
      </c>
      <c r="I69" s="101" t="s">
        <v>246</v>
      </c>
    </row>
    <row r="70" spans="1:12" ht="30" x14ac:dyDescent="0.25">
      <c r="A70" s="110">
        <v>169</v>
      </c>
      <c r="B70" s="110">
        <v>76121501</v>
      </c>
      <c r="C70" s="110">
        <v>10299</v>
      </c>
      <c r="D70" s="111" t="s">
        <v>151</v>
      </c>
      <c r="E70" s="110">
        <v>4</v>
      </c>
      <c r="F70" s="110" t="s">
        <v>20</v>
      </c>
      <c r="G70" s="113">
        <v>800000</v>
      </c>
      <c r="H70" s="112" t="s">
        <v>19</v>
      </c>
      <c r="I70" s="101" t="s">
        <v>335</v>
      </c>
    </row>
    <row r="71" spans="1:12" ht="30" x14ac:dyDescent="0.25">
      <c r="A71" s="110">
        <v>169</v>
      </c>
      <c r="B71" s="110">
        <v>76121501</v>
      </c>
      <c r="C71" s="110">
        <v>10299</v>
      </c>
      <c r="D71" s="111" t="s">
        <v>151</v>
      </c>
      <c r="E71" s="110">
        <v>4</v>
      </c>
      <c r="F71" s="110" t="s">
        <v>20</v>
      </c>
      <c r="G71" s="113">
        <v>800000</v>
      </c>
      <c r="H71" s="112" t="s">
        <v>19</v>
      </c>
      <c r="I71" s="101" t="s">
        <v>334</v>
      </c>
    </row>
    <row r="72" spans="1:12" ht="30" x14ac:dyDescent="0.25">
      <c r="A72" s="110">
        <v>169</v>
      </c>
      <c r="B72" s="110">
        <v>76121501</v>
      </c>
      <c r="C72" s="110">
        <v>10299</v>
      </c>
      <c r="D72" s="111" t="s">
        <v>151</v>
      </c>
      <c r="E72" s="110">
        <v>4</v>
      </c>
      <c r="F72" s="110" t="s">
        <v>20</v>
      </c>
      <c r="G72" s="113">
        <v>764000</v>
      </c>
      <c r="H72" s="112" t="s">
        <v>19</v>
      </c>
      <c r="I72" s="101" t="s">
        <v>336</v>
      </c>
    </row>
    <row r="73" spans="1:12" x14ac:dyDescent="0.25">
      <c r="A73" s="106">
        <v>169</v>
      </c>
      <c r="B73" s="106"/>
      <c r="C73" s="106"/>
      <c r="D73" s="107" t="s">
        <v>152</v>
      </c>
      <c r="E73" s="106"/>
      <c r="F73" s="106"/>
      <c r="G73" s="114">
        <f>+SUBTOTAL(9,G74:G78)</f>
        <v>5500000</v>
      </c>
      <c r="H73" s="108" t="s">
        <v>19</v>
      </c>
      <c r="I73" s="106"/>
      <c r="J73" s="31">
        <v>5500000</v>
      </c>
    </row>
    <row r="74" spans="1:12" x14ac:dyDescent="0.25">
      <c r="A74" s="110">
        <v>169</v>
      </c>
      <c r="B74" s="110">
        <v>82101504</v>
      </c>
      <c r="C74" s="110">
        <v>10301</v>
      </c>
      <c r="D74" s="111" t="s">
        <v>153</v>
      </c>
      <c r="E74" s="110">
        <v>10</v>
      </c>
      <c r="F74" s="110" t="s">
        <v>20</v>
      </c>
      <c r="G74" s="113">
        <v>1500000</v>
      </c>
      <c r="H74" s="115" t="s">
        <v>19</v>
      </c>
      <c r="I74" s="101" t="s">
        <v>335</v>
      </c>
    </row>
    <row r="75" spans="1:12" x14ac:dyDescent="0.25">
      <c r="A75" s="110">
        <v>169</v>
      </c>
      <c r="B75" s="110">
        <v>82101504</v>
      </c>
      <c r="C75" s="110">
        <v>10301</v>
      </c>
      <c r="D75" s="111" t="s">
        <v>154</v>
      </c>
      <c r="E75" s="110">
        <v>5</v>
      </c>
      <c r="F75" s="110" t="s">
        <v>20</v>
      </c>
      <c r="G75" s="113">
        <v>2500000</v>
      </c>
      <c r="H75" s="115" t="s">
        <v>19</v>
      </c>
      <c r="I75" s="101" t="s">
        <v>246</v>
      </c>
      <c r="J75" s="32"/>
      <c r="K75" s="33"/>
    </row>
    <row r="76" spans="1:12" x14ac:dyDescent="0.25">
      <c r="A76" s="110">
        <v>169</v>
      </c>
      <c r="B76" s="110">
        <v>82101601</v>
      </c>
      <c r="C76" s="110">
        <v>10301</v>
      </c>
      <c r="D76" s="111" t="s">
        <v>155</v>
      </c>
      <c r="E76" s="110">
        <v>5</v>
      </c>
      <c r="F76" s="110" t="s">
        <v>20</v>
      </c>
      <c r="G76" s="113">
        <v>500000</v>
      </c>
      <c r="H76" s="115" t="s">
        <v>19</v>
      </c>
      <c r="I76" s="101" t="s">
        <v>334</v>
      </c>
    </row>
    <row r="77" spans="1:12" x14ac:dyDescent="0.25">
      <c r="A77" s="110">
        <v>169</v>
      </c>
      <c r="B77" s="110">
        <v>82101603</v>
      </c>
      <c r="C77" s="110">
        <v>10301</v>
      </c>
      <c r="D77" s="111" t="s">
        <v>156</v>
      </c>
      <c r="E77" s="110">
        <v>1</v>
      </c>
      <c r="F77" s="110" t="s">
        <v>20</v>
      </c>
      <c r="G77" s="113">
        <v>500000</v>
      </c>
      <c r="H77" s="115" t="s">
        <v>19</v>
      </c>
      <c r="I77" s="101" t="s">
        <v>246</v>
      </c>
      <c r="K77" s="33"/>
    </row>
    <row r="78" spans="1:12" x14ac:dyDescent="0.25">
      <c r="A78" s="110">
        <v>169</v>
      </c>
      <c r="B78" s="110">
        <v>82101802</v>
      </c>
      <c r="C78" s="110">
        <v>10301</v>
      </c>
      <c r="D78" s="111" t="s">
        <v>157</v>
      </c>
      <c r="E78" s="110">
        <v>1</v>
      </c>
      <c r="F78" s="110" t="s">
        <v>20</v>
      </c>
      <c r="G78" s="113">
        <v>500000</v>
      </c>
      <c r="H78" s="115" t="s">
        <v>19</v>
      </c>
      <c r="I78" s="101" t="s">
        <v>246</v>
      </c>
      <c r="L78" s="33"/>
    </row>
    <row r="79" spans="1:12" x14ac:dyDescent="0.25">
      <c r="A79" s="106">
        <v>169</v>
      </c>
      <c r="B79" s="106"/>
      <c r="C79" s="106"/>
      <c r="D79" s="107" t="s">
        <v>158</v>
      </c>
      <c r="E79" s="106"/>
      <c r="F79" s="106"/>
      <c r="G79" s="114">
        <f>+SUBTOTAL(9,G80)</f>
        <v>62500</v>
      </c>
      <c r="H79" s="108" t="s">
        <v>19</v>
      </c>
      <c r="I79" s="106"/>
      <c r="J79" s="31">
        <v>62500</v>
      </c>
    </row>
    <row r="80" spans="1:12" x14ac:dyDescent="0.25">
      <c r="A80" s="110">
        <v>169</v>
      </c>
      <c r="B80" s="110" t="s">
        <v>159</v>
      </c>
      <c r="C80" s="110">
        <v>10304</v>
      </c>
      <c r="D80" s="116" t="s">
        <v>158</v>
      </c>
      <c r="E80" s="110">
        <v>1</v>
      </c>
      <c r="F80" s="110" t="s">
        <v>20</v>
      </c>
      <c r="G80" s="113">
        <v>62500</v>
      </c>
      <c r="H80" s="115" t="s">
        <v>19</v>
      </c>
      <c r="I80" s="101" t="s">
        <v>335</v>
      </c>
    </row>
    <row r="81" spans="1:13" ht="30" x14ac:dyDescent="0.25">
      <c r="A81" s="106">
        <v>169</v>
      </c>
      <c r="B81" s="106"/>
      <c r="C81" s="106"/>
      <c r="D81" s="107" t="s">
        <v>160</v>
      </c>
      <c r="E81" s="106"/>
      <c r="F81" s="106"/>
      <c r="G81" s="114">
        <f>+SUBTOTAL(9,G82:G85)</f>
        <v>300000</v>
      </c>
      <c r="H81" s="108" t="s">
        <v>19</v>
      </c>
      <c r="I81" s="106"/>
      <c r="J81" s="31">
        <v>1124800</v>
      </c>
    </row>
    <row r="82" spans="1:13" x14ac:dyDescent="0.25">
      <c r="A82" s="110">
        <v>169</v>
      </c>
      <c r="B82" s="110">
        <v>84121699</v>
      </c>
      <c r="C82" s="110">
        <v>10306</v>
      </c>
      <c r="D82" s="116" t="s">
        <v>161</v>
      </c>
      <c r="E82" s="110">
        <v>3</v>
      </c>
      <c r="F82" s="110" t="s">
        <v>20</v>
      </c>
      <c r="G82" s="113">
        <f>250000-200000</f>
        <v>50000</v>
      </c>
      <c r="H82" s="115" t="s">
        <v>19</v>
      </c>
      <c r="I82" s="101" t="s">
        <v>246</v>
      </c>
      <c r="M82" s="28" t="s">
        <v>389</v>
      </c>
    </row>
    <row r="83" spans="1:13" x14ac:dyDescent="0.25">
      <c r="A83" s="110">
        <v>169</v>
      </c>
      <c r="B83" s="110">
        <v>84121699</v>
      </c>
      <c r="C83" s="110">
        <v>10306</v>
      </c>
      <c r="D83" s="116" t="s">
        <v>161</v>
      </c>
      <c r="E83" s="110">
        <v>3</v>
      </c>
      <c r="F83" s="110" t="s">
        <v>20</v>
      </c>
      <c r="G83" s="113">
        <f t="shared" ref="G83:G84" si="1">250000-200000</f>
        <v>50000</v>
      </c>
      <c r="H83" s="115" t="s">
        <v>19</v>
      </c>
      <c r="I83" s="101" t="s">
        <v>246</v>
      </c>
      <c r="M83" s="28" t="s">
        <v>389</v>
      </c>
    </row>
    <row r="84" spans="1:13" x14ac:dyDescent="0.25">
      <c r="A84" s="110">
        <v>169</v>
      </c>
      <c r="B84" s="110">
        <v>84121699</v>
      </c>
      <c r="C84" s="110">
        <v>10306</v>
      </c>
      <c r="D84" s="116" t="s">
        <v>161</v>
      </c>
      <c r="E84" s="110">
        <v>3</v>
      </c>
      <c r="F84" s="110" t="s">
        <v>20</v>
      </c>
      <c r="G84" s="113">
        <f t="shared" si="1"/>
        <v>50000</v>
      </c>
      <c r="H84" s="115" t="s">
        <v>19</v>
      </c>
      <c r="I84" s="101" t="s">
        <v>246</v>
      </c>
      <c r="M84" s="28" t="s">
        <v>389</v>
      </c>
    </row>
    <row r="85" spans="1:13" x14ac:dyDescent="0.25">
      <c r="A85" s="110">
        <v>169</v>
      </c>
      <c r="B85" s="110">
        <v>84121699</v>
      </c>
      <c r="C85" s="110">
        <v>10306</v>
      </c>
      <c r="D85" s="116" t="s">
        <v>161</v>
      </c>
      <c r="E85" s="110">
        <v>3</v>
      </c>
      <c r="F85" s="110" t="s">
        <v>20</v>
      </c>
      <c r="G85" s="113">
        <f>250000-100000</f>
        <v>150000</v>
      </c>
      <c r="H85" s="115" t="s">
        <v>19</v>
      </c>
      <c r="I85" s="101" t="s">
        <v>246</v>
      </c>
      <c r="M85" s="28" t="s">
        <v>389</v>
      </c>
    </row>
    <row r="86" spans="1:13" ht="30" x14ac:dyDescent="0.25">
      <c r="A86" s="106"/>
      <c r="B86" s="106"/>
      <c r="C86" s="106"/>
      <c r="D86" s="107" t="s">
        <v>162</v>
      </c>
      <c r="E86" s="106"/>
      <c r="F86" s="106"/>
      <c r="G86" s="114">
        <f>SUBTOTAL(9,G87:G95)</f>
        <v>85000000</v>
      </c>
      <c r="H86" s="108"/>
      <c r="I86" s="106" t="s">
        <v>246</v>
      </c>
      <c r="J86" s="31">
        <v>40000000</v>
      </c>
    </row>
    <row r="87" spans="1:13" x14ac:dyDescent="0.25">
      <c r="A87" s="110">
        <v>169</v>
      </c>
      <c r="B87" s="110">
        <v>43231512</v>
      </c>
      <c r="C87" s="110">
        <v>10307</v>
      </c>
      <c r="D87" s="111" t="s">
        <v>163</v>
      </c>
      <c r="E87" s="110">
        <v>3</v>
      </c>
      <c r="F87" s="110" t="s">
        <v>20</v>
      </c>
      <c r="G87" s="113">
        <v>7500000</v>
      </c>
      <c r="H87" s="115" t="s">
        <v>19</v>
      </c>
      <c r="I87" s="101" t="s">
        <v>246</v>
      </c>
      <c r="K87" s="33"/>
    </row>
    <row r="88" spans="1:13" ht="75" x14ac:dyDescent="0.25">
      <c r="A88" s="110">
        <v>169</v>
      </c>
      <c r="B88" s="110">
        <v>81112099</v>
      </c>
      <c r="C88" s="110">
        <v>10307</v>
      </c>
      <c r="D88" s="111" t="s">
        <v>164</v>
      </c>
      <c r="E88" s="110">
        <v>10</v>
      </c>
      <c r="F88" s="110" t="s">
        <v>20</v>
      </c>
      <c r="G88" s="113">
        <v>300000</v>
      </c>
      <c r="H88" s="115" t="s">
        <v>19</v>
      </c>
      <c r="I88" s="101" t="s">
        <v>336</v>
      </c>
      <c r="K88" s="33"/>
    </row>
    <row r="89" spans="1:13" x14ac:dyDescent="0.25">
      <c r="A89" s="110">
        <v>169</v>
      </c>
      <c r="B89" s="110">
        <v>43231512</v>
      </c>
      <c r="C89" s="110">
        <v>10307</v>
      </c>
      <c r="D89" s="111" t="s">
        <v>163</v>
      </c>
      <c r="E89" s="110">
        <v>3</v>
      </c>
      <c r="F89" s="110" t="s">
        <v>20</v>
      </c>
      <c r="G89" s="113">
        <v>13500000</v>
      </c>
      <c r="H89" s="115" t="s">
        <v>19</v>
      </c>
      <c r="I89" s="101" t="s">
        <v>335</v>
      </c>
      <c r="K89" s="33"/>
    </row>
    <row r="90" spans="1:13" x14ac:dyDescent="0.25">
      <c r="A90" s="110">
        <v>169</v>
      </c>
      <c r="B90" s="110">
        <v>43231512</v>
      </c>
      <c r="C90" s="110">
        <v>10307</v>
      </c>
      <c r="D90" s="111" t="s">
        <v>163</v>
      </c>
      <c r="E90" s="110">
        <v>3</v>
      </c>
      <c r="F90" s="110" t="s">
        <v>20</v>
      </c>
      <c r="G90" s="113">
        <f>7500000+6000000</f>
        <v>13500000</v>
      </c>
      <c r="H90" s="115" t="s">
        <v>19</v>
      </c>
      <c r="I90" s="101" t="s">
        <v>334</v>
      </c>
      <c r="K90" s="33" t="s">
        <v>243</v>
      </c>
    </row>
    <row r="91" spans="1:13" x14ac:dyDescent="0.25">
      <c r="A91" s="110">
        <v>169</v>
      </c>
      <c r="B91" s="110">
        <v>43231512</v>
      </c>
      <c r="C91" s="110">
        <v>10307</v>
      </c>
      <c r="D91" s="111" t="s">
        <v>163</v>
      </c>
      <c r="E91" s="110">
        <v>3</v>
      </c>
      <c r="F91" s="110" t="s">
        <v>20</v>
      </c>
      <c r="G91" s="113">
        <f>7500000+6000000</f>
        <v>13500000</v>
      </c>
      <c r="H91" s="115" t="s">
        <v>19</v>
      </c>
      <c r="I91" s="101" t="s">
        <v>336</v>
      </c>
      <c r="K91" s="33" t="s">
        <v>243</v>
      </c>
    </row>
    <row r="92" spans="1:13" x14ac:dyDescent="0.25">
      <c r="A92" s="110">
        <v>169</v>
      </c>
      <c r="B92" s="110">
        <v>43231512</v>
      </c>
      <c r="C92" s="110">
        <v>10307</v>
      </c>
      <c r="D92" s="111" t="s">
        <v>165</v>
      </c>
      <c r="E92" s="110">
        <v>1</v>
      </c>
      <c r="F92" s="110" t="s">
        <v>20</v>
      </c>
      <c r="G92" s="113">
        <v>4000000</v>
      </c>
      <c r="H92" s="115" t="s">
        <v>19</v>
      </c>
      <c r="I92" s="117" t="s">
        <v>335</v>
      </c>
      <c r="K92" s="33"/>
    </row>
    <row r="93" spans="1:13" ht="30" x14ac:dyDescent="0.25">
      <c r="A93" s="110">
        <v>169</v>
      </c>
      <c r="B93" s="110">
        <v>43231512</v>
      </c>
      <c r="C93" s="110">
        <v>10307</v>
      </c>
      <c r="D93" s="111" t="s">
        <v>162</v>
      </c>
      <c r="E93" s="110">
        <v>1</v>
      </c>
      <c r="F93" s="110" t="s">
        <v>20</v>
      </c>
      <c r="G93" s="113">
        <v>4700000</v>
      </c>
      <c r="H93" s="115" t="s">
        <v>19</v>
      </c>
      <c r="I93" s="117" t="s">
        <v>334</v>
      </c>
      <c r="K93" s="33"/>
    </row>
    <row r="94" spans="1:13" ht="30" x14ac:dyDescent="0.25">
      <c r="A94" s="110"/>
      <c r="B94" s="110">
        <v>43231512</v>
      </c>
      <c r="C94" s="110">
        <v>10307</v>
      </c>
      <c r="D94" s="111" t="s">
        <v>238</v>
      </c>
      <c r="E94" s="110">
        <v>1</v>
      </c>
      <c r="F94" s="110" t="s">
        <v>20</v>
      </c>
      <c r="G94" s="113">
        <v>10000000</v>
      </c>
      <c r="H94" s="115" t="s">
        <v>19</v>
      </c>
      <c r="I94" s="117" t="s">
        <v>336</v>
      </c>
      <c r="K94" s="33" t="s">
        <v>239</v>
      </c>
    </row>
    <row r="95" spans="1:13" ht="30" x14ac:dyDescent="0.25">
      <c r="A95" s="110">
        <v>169</v>
      </c>
      <c r="B95" s="110">
        <v>81112202</v>
      </c>
      <c r="C95" s="110">
        <v>10307</v>
      </c>
      <c r="D95" s="111" t="s">
        <v>229</v>
      </c>
      <c r="E95" s="110">
        <v>1</v>
      </c>
      <c r="F95" s="110" t="s">
        <v>20</v>
      </c>
      <c r="G95" s="113">
        <v>18000000</v>
      </c>
      <c r="H95" s="115" t="s">
        <v>19</v>
      </c>
      <c r="I95" s="117" t="s">
        <v>335</v>
      </c>
      <c r="K95" s="33"/>
    </row>
    <row r="96" spans="1:13" x14ac:dyDescent="0.25">
      <c r="A96" s="106">
        <v>169</v>
      </c>
      <c r="B96" s="106"/>
      <c r="C96" s="106"/>
      <c r="D96" s="107" t="s">
        <v>25</v>
      </c>
      <c r="E96" s="106"/>
      <c r="F96" s="106"/>
      <c r="G96" s="114">
        <f>SUBTOTAL(9,G97:G108)</f>
        <v>77321126</v>
      </c>
      <c r="H96" s="108" t="s">
        <v>19</v>
      </c>
      <c r="I96" s="106"/>
      <c r="J96" s="31">
        <v>89321126</v>
      </c>
    </row>
    <row r="97" spans="1:14" x14ac:dyDescent="0.25">
      <c r="A97" s="110">
        <v>169</v>
      </c>
      <c r="B97" s="110">
        <v>76111501</v>
      </c>
      <c r="C97" s="110">
        <v>10406</v>
      </c>
      <c r="D97" s="111" t="s">
        <v>26</v>
      </c>
      <c r="E97" s="110">
        <v>3</v>
      </c>
      <c r="F97" s="110" t="s">
        <v>20</v>
      </c>
      <c r="G97" s="118">
        <f>21800000-6000000</f>
        <v>15800000</v>
      </c>
      <c r="H97" s="112" t="s">
        <v>19</v>
      </c>
      <c r="I97" s="101" t="s">
        <v>246</v>
      </c>
      <c r="M97" s="28" t="s">
        <v>389</v>
      </c>
    </row>
    <row r="98" spans="1:14" x14ac:dyDescent="0.25">
      <c r="A98" s="110">
        <v>169</v>
      </c>
      <c r="B98" s="110">
        <v>76111501</v>
      </c>
      <c r="C98" s="110">
        <v>10406</v>
      </c>
      <c r="D98" s="111" t="s">
        <v>26</v>
      </c>
      <c r="E98" s="110">
        <v>3</v>
      </c>
      <c r="F98" s="110" t="s">
        <v>20</v>
      </c>
      <c r="G98" s="118">
        <f>21800000-6000000</f>
        <v>15800000</v>
      </c>
      <c r="H98" s="112" t="s">
        <v>19</v>
      </c>
      <c r="I98" s="101" t="s">
        <v>335</v>
      </c>
      <c r="M98" s="28" t="s">
        <v>389</v>
      </c>
    </row>
    <row r="99" spans="1:14" x14ac:dyDescent="0.25">
      <c r="A99" s="110">
        <v>169</v>
      </c>
      <c r="B99" s="110">
        <v>76111501</v>
      </c>
      <c r="C99" s="110">
        <v>10406</v>
      </c>
      <c r="D99" s="111" t="s">
        <v>26</v>
      </c>
      <c r="E99" s="110">
        <v>3</v>
      </c>
      <c r="F99" s="110" t="s">
        <v>20</v>
      </c>
      <c r="G99" s="118">
        <v>21800000</v>
      </c>
      <c r="H99" s="112" t="s">
        <v>19</v>
      </c>
      <c r="I99" s="101" t="s">
        <v>334</v>
      </c>
    </row>
    <row r="100" spans="1:14" x14ac:dyDescent="0.25">
      <c r="A100" s="110">
        <v>169</v>
      </c>
      <c r="B100" s="110">
        <v>76111501</v>
      </c>
      <c r="C100" s="110">
        <v>10406</v>
      </c>
      <c r="D100" s="111" t="s">
        <v>26</v>
      </c>
      <c r="E100" s="110">
        <v>3</v>
      </c>
      <c r="F100" s="110" t="s">
        <v>20</v>
      </c>
      <c r="G100" s="118">
        <v>21800000</v>
      </c>
      <c r="H100" s="112" t="s">
        <v>19</v>
      </c>
      <c r="I100" s="101" t="s">
        <v>336</v>
      </c>
    </row>
    <row r="101" spans="1:14" x14ac:dyDescent="0.25">
      <c r="A101" s="110">
        <v>169</v>
      </c>
      <c r="B101" s="110">
        <v>44102414</v>
      </c>
      <c r="C101" s="110">
        <v>10406</v>
      </c>
      <c r="D101" s="111" t="s">
        <v>27</v>
      </c>
      <c r="E101" s="110">
        <v>1</v>
      </c>
      <c r="F101" s="110" t="s">
        <v>24</v>
      </c>
      <c r="G101" s="113">
        <v>71000</v>
      </c>
      <c r="H101" s="112" t="s">
        <v>19</v>
      </c>
      <c r="I101" s="101" t="s">
        <v>246</v>
      </c>
      <c r="N101" s="166" t="s">
        <v>419</v>
      </c>
    </row>
    <row r="102" spans="1:14" x14ac:dyDescent="0.25">
      <c r="A102" s="110">
        <v>169</v>
      </c>
      <c r="B102" s="110">
        <v>44121604</v>
      </c>
      <c r="C102" s="110">
        <v>10406</v>
      </c>
      <c r="D102" s="111" t="s">
        <v>28</v>
      </c>
      <c r="E102" s="110">
        <v>38</v>
      </c>
      <c r="F102" s="110" t="s">
        <v>24</v>
      </c>
      <c r="G102" s="113">
        <v>200000</v>
      </c>
      <c r="H102" s="112" t="s">
        <v>19</v>
      </c>
      <c r="I102" s="101" t="s">
        <v>246</v>
      </c>
    </row>
    <row r="103" spans="1:14" x14ac:dyDescent="0.25">
      <c r="A103" s="110">
        <v>169</v>
      </c>
      <c r="B103" s="110">
        <v>72101505</v>
      </c>
      <c r="C103" s="110">
        <v>10406</v>
      </c>
      <c r="D103" s="116" t="s">
        <v>29</v>
      </c>
      <c r="E103" s="110">
        <v>1</v>
      </c>
      <c r="F103" s="110" t="s">
        <v>20</v>
      </c>
      <c r="G103" s="113">
        <v>0</v>
      </c>
      <c r="H103" s="112" t="s">
        <v>19</v>
      </c>
      <c r="I103" s="101" t="s">
        <v>246</v>
      </c>
      <c r="N103" s="166" t="s">
        <v>418</v>
      </c>
    </row>
    <row r="104" spans="1:14" x14ac:dyDescent="0.25">
      <c r="A104" s="110">
        <v>169</v>
      </c>
      <c r="B104" s="110">
        <v>78180399</v>
      </c>
      <c r="C104" s="110">
        <v>10406</v>
      </c>
      <c r="D104" s="111" t="s">
        <v>166</v>
      </c>
      <c r="E104" s="110">
        <v>1</v>
      </c>
      <c r="F104" s="110" t="s">
        <v>20</v>
      </c>
      <c r="G104" s="113">
        <v>1000000</v>
      </c>
      <c r="H104" s="112" t="s">
        <v>19</v>
      </c>
      <c r="I104" s="101" t="s">
        <v>246</v>
      </c>
    </row>
    <row r="105" spans="1:14" x14ac:dyDescent="0.25">
      <c r="A105" s="110">
        <v>169</v>
      </c>
      <c r="B105" s="110">
        <v>78180399</v>
      </c>
      <c r="C105" s="110">
        <v>10406</v>
      </c>
      <c r="D105" s="111" t="s">
        <v>166</v>
      </c>
      <c r="E105" s="110">
        <v>1</v>
      </c>
      <c r="F105" s="110" t="s">
        <v>20</v>
      </c>
      <c r="G105" s="113">
        <v>150000</v>
      </c>
      <c r="H105" s="112" t="s">
        <v>19</v>
      </c>
      <c r="I105" s="101" t="s">
        <v>335</v>
      </c>
    </row>
    <row r="106" spans="1:14" x14ac:dyDescent="0.25">
      <c r="A106" s="110">
        <v>169</v>
      </c>
      <c r="B106" s="110">
        <v>78180399</v>
      </c>
      <c r="C106" s="110">
        <v>10406</v>
      </c>
      <c r="D106" s="111" t="s">
        <v>166</v>
      </c>
      <c r="E106" s="110">
        <v>1</v>
      </c>
      <c r="F106" s="110" t="s">
        <v>20</v>
      </c>
      <c r="G106" s="113">
        <v>150000</v>
      </c>
      <c r="H106" s="112" t="s">
        <v>19</v>
      </c>
      <c r="I106" s="101" t="s">
        <v>334</v>
      </c>
    </row>
    <row r="107" spans="1:14" x14ac:dyDescent="0.25">
      <c r="A107" s="110">
        <v>169</v>
      </c>
      <c r="B107" s="110">
        <v>78180399</v>
      </c>
      <c r="C107" s="110">
        <v>10406</v>
      </c>
      <c r="D107" s="111" t="s">
        <v>166</v>
      </c>
      <c r="E107" s="110">
        <v>1</v>
      </c>
      <c r="F107" s="110" t="s">
        <v>20</v>
      </c>
      <c r="G107" s="113">
        <v>150126</v>
      </c>
      <c r="H107" s="112" t="s">
        <v>19</v>
      </c>
      <c r="I107" s="101" t="s">
        <v>336</v>
      </c>
    </row>
    <row r="108" spans="1:14" ht="30" x14ac:dyDescent="0.25">
      <c r="A108" s="110">
        <v>169</v>
      </c>
      <c r="B108" s="101">
        <v>72101509</v>
      </c>
      <c r="C108" s="101">
        <v>10406</v>
      </c>
      <c r="D108" s="111" t="s">
        <v>417</v>
      </c>
      <c r="E108" s="101">
        <v>1</v>
      </c>
      <c r="F108" s="110" t="s">
        <v>20</v>
      </c>
      <c r="G108" s="146">
        <v>400000</v>
      </c>
      <c r="H108" s="154" t="s">
        <v>19</v>
      </c>
      <c r="I108" s="101" t="s">
        <v>336</v>
      </c>
    </row>
    <row r="109" spans="1:14" x14ac:dyDescent="0.25">
      <c r="A109" s="106">
        <v>169</v>
      </c>
      <c r="B109" s="106"/>
      <c r="C109" s="106"/>
      <c r="D109" s="107" t="s">
        <v>30</v>
      </c>
      <c r="E109" s="106"/>
      <c r="F109" s="106"/>
      <c r="G109" s="114">
        <f>SUBTOTAL(9,G110:G121)</f>
        <v>2500000</v>
      </c>
      <c r="H109" s="108" t="s">
        <v>19</v>
      </c>
      <c r="I109" s="106"/>
    </row>
    <row r="110" spans="1:14" x14ac:dyDescent="0.25">
      <c r="A110" s="110">
        <v>169</v>
      </c>
      <c r="B110" s="110">
        <v>72102103</v>
      </c>
      <c r="C110" s="119">
        <v>10499</v>
      </c>
      <c r="D110" s="120" t="s">
        <v>167</v>
      </c>
      <c r="E110" s="110">
        <v>1</v>
      </c>
      <c r="F110" s="110" t="s">
        <v>20</v>
      </c>
      <c r="G110" s="118">
        <v>100000</v>
      </c>
      <c r="H110" s="112" t="s">
        <v>19</v>
      </c>
      <c r="I110" s="101" t="s">
        <v>246</v>
      </c>
    </row>
    <row r="111" spans="1:14" x14ac:dyDescent="0.25">
      <c r="A111" s="110">
        <v>169</v>
      </c>
      <c r="B111" s="110">
        <v>72102103</v>
      </c>
      <c r="C111" s="119">
        <v>10499</v>
      </c>
      <c r="D111" s="120" t="s">
        <v>167</v>
      </c>
      <c r="E111" s="110">
        <v>1</v>
      </c>
      <c r="F111" s="110" t="s">
        <v>20</v>
      </c>
      <c r="G111" s="118">
        <v>100000</v>
      </c>
      <c r="H111" s="112" t="s">
        <v>19</v>
      </c>
      <c r="I111" s="101" t="s">
        <v>335</v>
      </c>
    </row>
    <row r="112" spans="1:14" x14ac:dyDescent="0.25">
      <c r="A112" s="110">
        <v>169</v>
      </c>
      <c r="B112" s="110">
        <v>72102103</v>
      </c>
      <c r="C112" s="119">
        <v>10499</v>
      </c>
      <c r="D112" s="120" t="s">
        <v>167</v>
      </c>
      <c r="E112" s="110">
        <v>1</v>
      </c>
      <c r="F112" s="110" t="s">
        <v>20</v>
      </c>
      <c r="G112" s="118">
        <v>100000</v>
      </c>
      <c r="H112" s="112" t="s">
        <v>19</v>
      </c>
      <c r="I112" s="101" t="s">
        <v>334</v>
      </c>
    </row>
    <row r="113" spans="1:13" x14ac:dyDescent="0.25">
      <c r="A113" s="110">
        <v>169</v>
      </c>
      <c r="B113" s="110">
        <v>72102103</v>
      </c>
      <c r="C113" s="119">
        <v>10499</v>
      </c>
      <c r="D113" s="120" t="s">
        <v>167</v>
      </c>
      <c r="E113" s="110">
        <v>1</v>
      </c>
      <c r="F113" s="110" t="s">
        <v>20</v>
      </c>
      <c r="G113" s="118">
        <v>100000</v>
      </c>
      <c r="H113" s="112" t="s">
        <v>19</v>
      </c>
      <c r="I113" s="101" t="s">
        <v>336</v>
      </c>
      <c r="M113" s="28" t="s">
        <v>392</v>
      </c>
    </row>
    <row r="114" spans="1:13" x14ac:dyDescent="0.25">
      <c r="A114" s="110">
        <v>169</v>
      </c>
      <c r="B114" s="110">
        <v>78181505</v>
      </c>
      <c r="C114" s="119">
        <v>10499</v>
      </c>
      <c r="D114" s="111" t="s">
        <v>31</v>
      </c>
      <c r="E114" s="110">
        <v>58</v>
      </c>
      <c r="F114" s="110" t="s">
        <v>20</v>
      </c>
      <c r="G114" s="118">
        <v>200000</v>
      </c>
      <c r="H114" s="112" t="s">
        <v>19</v>
      </c>
      <c r="I114" s="101" t="s">
        <v>246</v>
      </c>
    </row>
    <row r="115" spans="1:13" x14ac:dyDescent="0.25">
      <c r="A115" s="110">
        <v>169</v>
      </c>
      <c r="B115" s="110">
        <v>78181505</v>
      </c>
      <c r="C115" s="119">
        <v>10499</v>
      </c>
      <c r="D115" s="111" t="s">
        <v>31</v>
      </c>
      <c r="E115" s="110">
        <v>14</v>
      </c>
      <c r="F115" s="110" t="s">
        <v>20</v>
      </c>
      <c r="G115" s="118">
        <f>200000+500000</f>
        <v>700000</v>
      </c>
      <c r="H115" s="112" t="s">
        <v>19</v>
      </c>
      <c r="I115" s="101" t="s">
        <v>335</v>
      </c>
      <c r="K115" s="28" t="s">
        <v>243</v>
      </c>
    </row>
    <row r="116" spans="1:13" x14ac:dyDescent="0.25">
      <c r="A116" s="110">
        <v>169</v>
      </c>
      <c r="B116" s="110">
        <v>78181505</v>
      </c>
      <c r="C116" s="119">
        <v>10499</v>
      </c>
      <c r="D116" s="111" t="s">
        <v>31</v>
      </c>
      <c r="E116" s="110">
        <v>14</v>
      </c>
      <c r="F116" s="110" t="s">
        <v>20</v>
      </c>
      <c r="G116" s="118">
        <v>200000</v>
      </c>
      <c r="H116" s="112" t="s">
        <v>19</v>
      </c>
      <c r="I116" s="101" t="s">
        <v>334</v>
      </c>
    </row>
    <row r="117" spans="1:13" x14ac:dyDescent="0.25">
      <c r="A117" s="110">
        <v>169</v>
      </c>
      <c r="B117" s="110">
        <v>78181505</v>
      </c>
      <c r="C117" s="119">
        <v>10499</v>
      </c>
      <c r="D117" s="111" t="s">
        <v>31</v>
      </c>
      <c r="E117" s="110">
        <v>14</v>
      </c>
      <c r="F117" s="110" t="s">
        <v>20</v>
      </c>
      <c r="G117" s="118">
        <v>200000</v>
      </c>
      <c r="H117" s="112" t="s">
        <v>19</v>
      </c>
      <c r="I117" s="101" t="s">
        <v>336</v>
      </c>
    </row>
    <row r="118" spans="1:13" ht="45" x14ac:dyDescent="0.25">
      <c r="A118" s="110">
        <v>169</v>
      </c>
      <c r="B118" s="110">
        <v>83111602</v>
      </c>
      <c r="C118" s="119">
        <v>10499</v>
      </c>
      <c r="D118" s="111" t="s">
        <v>32</v>
      </c>
      <c r="E118" s="110">
        <v>4</v>
      </c>
      <c r="F118" s="110" t="s">
        <v>20</v>
      </c>
      <c r="G118" s="113">
        <v>200000</v>
      </c>
      <c r="H118" s="112" t="s">
        <v>19</v>
      </c>
      <c r="I118" s="101" t="s">
        <v>246</v>
      </c>
      <c r="K118" s="28" t="s">
        <v>243</v>
      </c>
    </row>
    <row r="119" spans="1:13" ht="45" x14ac:dyDescent="0.25">
      <c r="A119" s="110">
        <v>169</v>
      </c>
      <c r="B119" s="110">
        <v>83111602</v>
      </c>
      <c r="C119" s="119">
        <v>10499</v>
      </c>
      <c r="D119" s="111" t="s">
        <v>32</v>
      </c>
      <c r="E119" s="110">
        <v>2</v>
      </c>
      <c r="F119" s="110" t="s">
        <v>20</v>
      </c>
      <c r="G119" s="113">
        <v>200000</v>
      </c>
      <c r="H119" s="112" t="s">
        <v>19</v>
      </c>
      <c r="I119" s="101" t="s">
        <v>335</v>
      </c>
      <c r="K119" s="28" t="s">
        <v>243</v>
      </c>
    </row>
    <row r="120" spans="1:13" ht="45" x14ac:dyDescent="0.25">
      <c r="A120" s="110">
        <v>169</v>
      </c>
      <c r="B120" s="110">
        <v>83111602</v>
      </c>
      <c r="C120" s="119">
        <v>10499</v>
      </c>
      <c r="D120" s="111" t="s">
        <v>32</v>
      </c>
      <c r="E120" s="110">
        <v>2</v>
      </c>
      <c r="F120" s="110" t="s">
        <v>20</v>
      </c>
      <c r="G120" s="113">
        <v>200000</v>
      </c>
      <c r="H120" s="112" t="s">
        <v>19</v>
      </c>
      <c r="I120" s="101" t="s">
        <v>334</v>
      </c>
    </row>
    <row r="121" spans="1:13" ht="45" x14ac:dyDescent="0.25">
      <c r="A121" s="110">
        <v>169</v>
      </c>
      <c r="B121" s="110">
        <v>83111602</v>
      </c>
      <c r="C121" s="119">
        <v>10499</v>
      </c>
      <c r="D121" s="111" t="s">
        <v>32</v>
      </c>
      <c r="E121" s="110">
        <v>2</v>
      </c>
      <c r="F121" s="110" t="s">
        <v>20</v>
      </c>
      <c r="G121" s="113">
        <v>200000</v>
      </c>
      <c r="H121" s="112" t="s">
        <v>19</v>
      </c>
      <c r="I121" s="101" t="s">
        <v>336</v>
      </c>
    </row>
    <row r="122" spans="1:13" x14ac:dyDescent="0.25">
      <c r="A122" s="106">
        <v>169</v>
      </c>
      <c r="B122" s="106"/>
      <c r="C122" s="106"/>
      <c r="D122" s="107" t="s">
        <v>248</v>
      </c>
      <c r="E122" s="106"/>
      <c r="F122" s="106"/>
      <c r="G122" s="114">
        <f>SUBTOTAL(9,G123:G126)</f>
        <v>1605380</v>
      </c>
      <c r="H122" s="108" t="s">
        <v>19</v>
      </c>
      <c r="I122" s="106"/>
      <c r="M122" s="28" t="s">
        <v>393</v>
      </c>
    </row>
    <row r="123" spans="1:13" x14ac:dyDescent="0.25">
      <c r="A123" s="110">
        <v>169</v>
      </c>
      <c r="B123" s="110">
        <v>90111502</v>
      </c>
      <c r="C123" s="110">
        <v>10501</v>
      </c>
      <c r="D123" s="111" t="s">
        <v>249</v>
      </c>
      <c r="E123" s="110">
        <v>50</v>
      </c>
      <c r="F123" s="110" t="s">
        <v>20</v>
      </c>
      <c r="G123" s="118">
        <v>201345</v>
      </c>
      <c r="H123" s="112" t="s">
        <v>19</v>
      </c>
      <c r="I123" s="117" t="s">
        <v>246</v>
      </c>
    </row>
    <row r="124" spans="1:13" x14ac:dyDescent="0.25">
      <c r="A124" s="110">
        <v>169</v>
      </c>
      <c r="B124" s="110">
        <v>90111502</v>
      </c>
      <c r="C124" s="110">
        <v>10501</v>
      </c>
      <c r="D124" s="111" t="s">
        <v>249</v>
      </c>
      <c r="E124" s="110">
        <v>50</v>
      </c>
      <c r="F124" s="110" t="s">
        <v>20</v>
      </c>
      <c r="G124" s="118">
        <f>201345+800000</f>
        <v>1001345</v>
      </c>
      <c r="H124" s="112" t="s">
        <v>19</v>
      </c>
      <c r="I124" s="117" t="s">
        <v>335</v>
      </c>
    </row>
    <row r="125" spans="1:13" x14ac:dyDescent="0.25">
      <c r="A125" s="110">
        <v>169</v>
      </c>
      <c r="B125" s="110">
        <v>90111502</v>
      </c>
      <c r="C125" s="110">
        <v>10501</v>
      </c>
      <c r="D125" s="111" t="s">
        <v>249</v>
      </c>
      <c r="E125" s="110">
        <v>40</v>
      </c>
      <c r="F125" s="110" t="s">
        <v>20</v>
      </c>
      <c r="G125" s="118">
        <v>201345</v>
      </c>
      <c r="H125" s="112" t="s">
        <v>19</v>
      </c>
      <c r="I125" s="117" t="s">
        <v>334</v>
      </c>
      <c r="J125" s="31">
        <v>21500000</v>
      </c>
    </row>
    <row r="126" spans="1:13" x14ac:dyDescent="0.25">
      <c r="A126" s="110">
        <v>169</v>
      </c>
      <c r="B126" s="110">
        <v>90111502</v>
      </c>
      <c r="C126" s="110">
        <v>10501</v>
      </c>
      <c r="D126" s="111" t="s">
        <v>249</v>
      </c>
      <c r="E126" s="110">
        <v>30</v>
      </c>
      <c r="F126" s="110" t="s">
        <v>20</v>
      </c>
      <c r="G126" s="118">
        <v>201345</v>
      </c>
      <c r="H126" s="112" t="s">
        <v>19</v>
      </c>
      <c r="I126" s="117" t="s">
        <v>336</v>
      </c>
    </row>
    <row r="127" spans="1:13" x14ac:dyDescent="0.25">
      <c r="A127" s="106">
        <v>169</v>
      </c>
      <c r="B127" s="106"/>
      <c r="C127" s="106"/>
      <c r="D127" s="107" t="s">
        <v>33</v>
      </c>
      <c r="E127" s="106"/>
      <c r="F127" s="106"/>
      <c r="G127" s="114">
        <f>SUBTOTAL(9,G128:G135)</f>
        <v>16973091</v>
      </c>
      <c r="H127" s="108" t="s">
        <v>19</v>
      </c>
      <c r="I127" s="106"/>
    </row>
    <row r="128" spans="1:13" x14ac:dyDescent="0.25">
      <c r="A128" s="110">
        <v>169</v>
      </c>
      <c r="B128" s="110">
        <v>90111501</v>
      </c>
      <c r="C128" s="119">
        <v>10502</v>
      </c>
      <c r="D128" s="111" t="s">
        <v>34</v>
      </c>
      <c r="E128" s="110">
        <v>50</v>
      </c>
      <c r="F128" s="110" t="s">
        <v>20</v>
      </c>
      <c r="G128" s="118">
        <v>1500000</v>
      </c>
      <c r="H128" s="112" t="s">
        <v>19</v>
      </c>
      <c r="I128" s="101" t="s">
        <v>246</v>
      </c>
    </row>
    <row r="129" spans="1:13" x14ac:dyDescent="0.25">
      <c r="A129" s="110">
        <v>169</v>
      </c>
      <c r="B129" s="110">
        <v>90111501</v>
      </c>
      <c r="C129" s="119">
        <v>10502</v>
      </c>
      <c r="D129" s="111" t="s">
        <v>35</v>
      </c>
      <c r="E129" s="110">
        <v>50</v>
      </c>
      <c r="F129" s="110" t="s">
        <v>20</v>
      </c>
      <c r="G129" s="118">
        <v>1500000</v>
      </c>
      <c r="H129" s="112" t="s">
        <v>19</v>
      </c>
      <c r="I129" s="101" t="s">
        <v>335</v>
      </c>
    </row>
    <row r="130" spans="1:13" x14ac:dyDescent="0.25">
      <c r="A130" s="110">
        <v>169</v>
      </c>
      <c r="B130" s="110">
        <v>90111501</v>
      </c>
      <c r="C130" s="119">
        <v>10502</v>
      </c>
      <c r="D130" s="111" t="s">
        <v>35</v>
      </c>
      <c r="E130" s="110">
        <v>40</v>
      </c>
      <c r="F130" s="110" t="s">
        <v>20</v>
      </c>
      <c r="G130" s="118">
        <v>1500000</v>
      </c>
      <c r="H130" s="112" t="s">
        <v>19</v>
      </c>
      <c r="I130" s="101" t="s">
        <v>334</v>
      </c>
    </row>
    <row r="131" spans="1:13" x14ac:dyDescent="0.25">
      <c r="A131" s="110">
        <v>169</v>
      </c>
      <c r="B131" s="110">
        <v>90111501</v>
      </c>
      <c r="C131" s="119">
        <v>10502</v>
      </c>
      <c r="D131" s="111" t="s">
        <v>35</v>
      </c>
      <c r="E131" s="110">
        <v>30</v>
      </c>
      <c r="F131" s="110" t="s">
        <v>20</v>
      </c>
      <c r="G131" s="118">
        <v>1000000</v>
      </c>
      <c r="H131" s="112" t="s">
        <v>19</v>
      </c>
      <c r="I131" s="101" t="s">
        <v>336</v>
      </c>
    </row>
    <row r="132" spans="1:13" x14ac:dyDescent="0.25">
      <c r="A132" s="110">
        <v>169</v>
      </c>
      <c r="B132" s="110">
        <v>90111501</v>
      </c>
      <c r="C132" s="119">
        <v>10502</v>
      </c>
      <c r="D132" s="111" t="s">
        <v>36</v>
      </c>
      <c r="E132" s="110">
        <v>1</v>
      </c>
      <c r="F132" s="110" t="s">
        <v>20</v>
      </c>
      <c r="G132" s="118">
        <v>4000000</v>
      </c>
      <c r="H132" s="112" t="s">
        <v>19</v>
      </c>
      <c r="I132" s="101" t="s">
        <v>246</v>
      </c>
      <c r="K132" s="28" t="s">
        <v>242</v>
      </c>
    </row>
    <row r="133" spans="1:13" x14ac:dyDescent="0.25">
      <c r="A133" s="110">
        <v>169</v>
      </c>
      <c r="B133" s="110">
        <v>90111501</v>
      </c>
      <c r="C133" s="119">
        <v>10502</v>
      </c>
      <c r="D133" s="111" t="s">
        <v>36</v>
      </c>
      <c r="E133" s="110">
        <v>1</v>
      </c>
      <c r="F133" s="110" t="s">
        <v>20</v>
      </c>
      <c r="G133" s="118">
        <v>4000000</v>
      </c>
      <c r="H133" s="112" t="s">
        <v>19</v>
      </c>
      <c r="I133" s="101" t="s">
        <v>335</v>
      </c>
      <c r="K133" s="28" t="s">
        <v>242</v>
      </c>
    </row>
    <row r="134" spans="1:13" x14ac:dyDescent="0.25">
      <c r="A134" s="110">
        <v>169</v>
      </c>
      <c r="B134" s="110">
        <v>90111501</v>
      </c>
      <c r="C134" s="119">
        <v>10502</v>
      </c>
      <c r="D134" s="111" t="s">
        <v>36</v>
      </c>
      <c r="E134" s="110">
        <v>1</v>
      </c>
      <c r="F134" s="110" t="s">
        <v>20</v>
      </c>
      <c r="G134" s="118">
        <f>4000000-2500000</f>
        <v>1500000</v>
      </c>
      <c r="H134" s="112" t="s">
        <v>19</v>
      </c>
      <c r="I134" s="101" t="s">
        <v>334</v>
      </c>
      <c r="J134" s="31">
        <v>224961699</v>
      </c>
    </row>
    <row r="135" spans="1:13" x14ac:dyDescent="0.25">
      <c r="A135" s="110">
        <v>169</v>
      </c>
      <c r="B135" s="110">
        <v>90111501</v>
      </c>
      <c r="C135" s="119">
        <v>10502</v>
      </c>
      <c r="D135" s="111" t="s">
        <v>36</v>
      </c>
      <c r="E135" s="110">
        <v>1</v>
      </c>
      <c r="F135" s="110" t="s">
        <v>20</v>
      </c>
      <c r="G135" s="118">
        <v>1973091</v>
      </c>
      <c r="H135" s="112" t="s">
        <v>19</v>
      </c>
      <c r="I135" s="101" t="s">
        <v>336</v>
      </c>
    </row>
    <row r="136" spans="1:13" x14ac:dyDescent="0.25">
      <c r="A136" s="106">
        <v>169</v>
      </c>
      <c r="B136" s="106"/>
      <c r="C136" s="121"/>
      <c r="D136" s="107" t="s">
        <v>168</v>
      </c>
      <c r="E136" s="106"/>
      <c r="F136" s="106"/>
      <c r="G136" s="99">
        <f>SUBTOTAL(9,G137:G140)</f>
        <v>306961699</v>
      </c>
      <c r="H136" s="108" t="s">
        <v>19</v>
      </c>
      <c r="I136" s="106"/>
      <c r="K136" s="28" t="s">
        <v>243</v>
      </c>
      <c r="M136" s="28" t="s">
        <v>393</v>
      </c>
    </row>
    <row r="137" spans="1:13" x14ac:dyDescent="0.25">
      <c r="A137" s="110">
        <v>169</v>
      </c>
      <c r="B137" s="110">
        <v>64122003</v>
      </c>
      <c r="C137" s="119">
        <v>10601</v>
      </c>
      <c r="D137" s="111" t="s">
        <v>169</v>
      </c>
      <c r="E137" s="110">
        <v>1</v>
      </c>
      <c r="F137" s="110" t="s">
        <v>20</v>
      </c>
      <c r="G137" s="118">
        <v>100000000</v>
      </c>
      <c r="H137" s="115" t="s">
        <v>19</v>
      </c>
      <c r="I137" s="101" t="s">
        <v>246</v>
      </c>
    </row>
    <row r="138" spans="1:13" x14ac:dyDescent="0.25">
      <c r="A138" s="110">
        <v>169</v>
      </c>
      <c r="B138" s="110">
        <v>84131503</v>
      </c>
      <c r="C138" s="119">
        <v>10601</v>
      </c>
      <c r="D138" s="111" t="s">
        <v>170</v>
      </c>
      <c r="E138" s="110">
        <v>1</v>
      </c>
      <c r="F138" s="110" t="s">
        <v>20</v>
      </c>
      <c r="G138" s="118">
        <f>50000000+82000000</f>
        <v>132000000</v>
      </c>
      <c r="H138" s="115" t="s">
        <v>19</v>
      </c>
      <c r="I138" s="101" t="s">
        <v>335</v>
      </c>
    </row>
    <row r="139" spans="1:13" x14ac:dyDescent="0.25">
      <c r="A139" s="110">
        <v>169</v>
      </c>
      <c r="B139" s="110">
        <v>93151699</v>
      </c>
      <c r="C139" s="119">
        <v>10601</v>
      </c>
      <c r="D139" s="111" t="s">
        <v>171</v>
      </c>
      <c r="E139" s="110">
        <v>1</v>
      </c>
      <c r="F139" s="110" t="s">
        <v>20</v>
      </c>
      <c r="G139" s="118">
        <v>50000000</v>
      </c>
      <c r="H139" s="115" t="s">
        <v>19</v>
      </c>
      <c r="I139" s="101" t="s">
        <v>334</v>
      </c>
      <c r="J139" s="31"/>
    </row>
    <row r="140" spans="1:13" x14ac:dyDescent="0.25">
      <c r="A140" s="110">
        <v>169</v>
      </c>
      <c r="B140" s="110">
        <v>93151699</v>
      </c>
      <c r="C140" s="119">
        <v>10601</v>
      </c>
      <c r="D140" s="111" t="s">
        <v>172</v>
      </c>
      <c r="E140" s="110">
        <v>1</v>
      </c>
      <c r="F140" s="110" t="s">
        <v>20</v>
      </c>
      <c r="G140" s="118">
        <v>24961699</v>
      </c>
      <c r="H140" s="115" t="s">
        <v>19</v>
      </c>
      <c r="I140" s="101" t="s">
        <v>336</v>
      </c>
      <c r="M140" s="28" t="s">
        <v>396</v>
      </c>
    </row>
    <row r="141" spans="1:13" x14ac:dyDescent="0.25">
      <c r="A141" s="106">
        <v>169</v>
      </c>
      <c r="B141" s="106"/>
      <c r="C141" s="121"/>
      <c r="D141" s="107" t="s">
        <v>394</v>
      </c>
      <c r="E141" s="106"/>
      <c r="F141" s="106"/>
      <c r="G141" s="114">
        <f>SUBTOTAL(9,G142)</f>
        <v>4000000</v>
      </c>
      <c r="H141" s="108"/>
      <c r="I141" s="106"/>
      <c r="J141" s="31">
        <v>24000000</v>
      </c>
    </row>
    <row r="142" spans="1:13" x14ac:dyDescent="0.25">
      <c r="A142" s="110"/>
      <c r="B142" s="110"/>
      <c r="C142" s="119">
        <v>10701</v>
      </c>
      <c r="D142" s="111" t="s">
        <v>395</v>
      </c>
      <c r="E142" s="110">
        <v>1</v>
      </c>
      <c r="F142" s="110" t="s">
        <v>20</v>
      </c>
      <c r="G142" s="118">
        <v>4000000</v>
      </c>
      <c r="H142" s="112" t="s">
        <v>19</v>
      </c>
      <c r="I142" s="101" t="s">
        <v>334</v>
      </c>
    </row>
    <row r="143" spans="1:13" x14ac:dyDescent="0.25">
      <c r="A143" s="106">
        <v>169</v>
      </c>
      <c r="B143" s="106"/>
      <c r="C143" s="121"/>
      <c r="D143" s="107" t="s">
        <v>37</v>
      </c>
      <c r="E143" s="106"/>
      <c r="F143" s="106"/>
      <c r="G143" s="114">
        <f>SUBTOTAL(9,G144:G155)</f>
        <v>24000000</v>
      </c>
      <c r="H143" s="108" t="s">
        <v>19</v>
      </c>
      <c r="I143" s="106"/>
    </row>
    <row r="144" spans="1:13" x14ac:dyDescent="0.25">
      <c r="A144" s="110">
        <v>169</v>
      </c>
      <c r="B144" s="110">
        <v>72101507</v>
      </c>
      <c r="C144" s="119">
        <v>10801</v>
      </c>
      <c r="D144" s="111" t="s">
        <v>173</v>
      </c>
      <c r="E144" s="110">
        <v>1</v>
      </c>
      <c r="F144" s="110" t="s">
        <v>20</v>
      </c>
      <c r="G144" s="118">
        <v>5250000</v>
      </c>
      <c r="H144" s="112" t="s">
        <v>19</v>
      </c>
      <c r="I144" s="101" t="s">
        <v>335</v>
      </c>
    </row>
    <row r="145" spans="1:11" x14ac:dyDescent="0.25">
      <c r="A145" s="110">
        <v>169</v>
      </c>
      <c r="B145" s="110">
        <v>72101507</v>
      </c>
      <c r="C145" s="119">
        <v>10801</v>
      </c>
      <c r="D145" s="111" t="s">
        <v>173</v>
      </c>
      <c r="E145" s="110">
        <v>1</v>
      </c>
      <c r="F145" s="110" t="s">
        <v>174</v>
      </c>
      <c r="G145" s="118">
        <v>5250000</v>
      </c>
      <c r="H145" s="112" t="s">
        <v>19</v>
      </c>
      <c r="I145" s="101" t="s">
        <v>335</v>
      </c>
    </row>
    <row r="146" spans="1:11" x14ac:dyDescent="0.25">
      <c r="A146" s="110">
        <v>169</v>
      </c>
      <c r="B146" s="110">
        <v>72101507</v>
      </c>
      <c r="C146" s="119">
        <v>10801</v>
      </c>
      <c r="D146" s="111" t="s">
        <v>173</v>
      </c>
      <c r="E146" s="110">
        <v>1</v>
      </c>
      <c r="F146" s="110" t="s">
        <v>20</v>
      </c>
      <c r="G146" s="118">
        <v>5250000</v>
      </c>
      <c r="H146" s="112" t="s">
        <v>19</v>
      </c>
      <c r="I146" s="101" t="s">
        <v>334</v>
      </c>
    </row>
    <row r="147" spans="1:11" x14ac:dyDescent="0.25">
      <c r="A147" s="110">
        <v>169</v>
      </c>
      <c r="B147" s="110">
        <v>72101507</v>
      </c>
      <c r="C147" s="119">
        <v>10801</v>
      </c>
      <c r="D147" s="111" t="s">
        <v>173</v>
      </c>
      <c r="E147" s="110">
        <v>1</v>
      </c>
      <c r="F147" s="110" t="s">
        <v>20</v>
      </c>
      <c r="G147" s="118">
        <v>5250000</v>
      </c>
      <c r="H147" s="112" t="s">
        <v>19</v>
      </c>
      <c r="I147" s="101" t="s">
        <v>336</v>
      </c>
    </row>
    <row r="148" spans="1:11" x14ac:dyDescent="0.25">
      <c r="A148" s="110">
        <v>169</v>
      </c>
      <c r="B148" s="110">
        <v>72101506</v>
      </c>
      <c r="C148" s="119">
        <v>10801</v>
      </c>
      <c r="D148" s="111" t="s">
        <v>175</v>
      </c>
      <c r="E148" s="110">
        <v>3</v>
      </c>
      <c r="F148" s="110" t="s">
        <v>20</v>
      </c>
      <c r="G148" s="118">
        <v>500000</v>
      </c>
      <c r="H148" s="112" t="s">
        <v>19</v>
      </c>
      <c r="I148" s="101" t="s">
        <v>335</v>
      </c>
    </row>
    <row r="149" spans="1:11" x14ac:dyDescent="0.25">
      <c r="A149" s="110">
        <v>169</v>
      </c>
      <c r="B149" s="110">
        <v>72101506</v>
      </c>
      <c r="C149" s="119">
        <v>10801</v>
      </c>
      <c r="D149" s="111" t="s">
        <v>175</v>
      </c>
      <c r="E149" s="110">
        <v>3</v>
      </c>
      <c r="F149" s="110" t="s">
        <v>20</v>
      </c>
      <c r="G149" s="118">
        <v>500000</v>
      </c>
      <c r="H149" s="112" t="s">
        <v>19</v>
      </c>
      <c r="I149" s="101" t="s">
        <v>335</v>
      </c>
    </row>
    <row r="150" spans="1:11" x14ac:dyDescent="0.25">
      <c r="A150" s="110">
        <v>169</v>
      </c>
      <c r="B150" s="110">
        <v>72101506</v>
      </c>
      <c r="C150" s="119">
        <v>10801</v>
      </c>
      <c r="D150" s="111" t="s">
        <v>175</v>
      </c>
      <c r="E150" s="110">
        <v>3</v>
      </c>
      <c r="F150" s="110" t="s">
        <v>20</v>
      </c>
      <c r="G150" s="118">
        <v>500000</v>
      </c>
      <c r="H150" s="112" t="s">
        <v>19</v>
      </c>
      <c r="I150" s="101" t="s">
        <v>334</v>
      </c>
    </row>
    <row r="151" spans="1:11" x14ac:dyDescent="0.25">
      <c r="A151" s="110">
        <v>169</v>
      </c>
      <c r="B151" s="110">
        <v>72101506</v>
      </c>
      <c r="C151" s="119">
        <v>10801</v>
      </c>
      <c r="D151" s="111" t="s">
        <v>175</v>
      </c>
      <c r="E151" s="110">
        <v>3</v>
      </c>
      <c r="F151" s="110" t="s">
        <v>20</v>
      </c>
      <c r="G151" s="118">
        <v>500000</v>
      </c>
      <c r="H151" s="112" t="s">
        <v>19</v>
      </c>
      <c r="I151" s="101" t="s">
        <v>336</v>
      </c>
    </row>
    <row r="152" spans="1:11" ht="30" x14ac:dyDescent="0.25">
      <c r="A152" s="110">
        <v>169</v>
      </c>
      <c r="B152" s="110">
        <v>72154055</v>
      </c>
      <c r="C152" s="119">
        <v>10801</v>
      </c>
      <c r="D152" s="111" t="s">
        <v>176</v>
      </c>
      <c r="E152" s="110">
        <v>1</v>
      </c>
      <c r="F152" s="110" t="s">
        <v>20</v>
      </c>
      <c r="G152" s="118">
        <v>250000</v>
      </c>
      <c r="H152" s="112" t="s">
        <v>19</v>
      </c>
      <c r="I152" s="101" t="s">
        <v>335</v>
      </c>
    </row>
    <row r="153" spans="1:11" ht="30" x14ac:dyDescent="0.25">
      <c r="A153" s="110">
        <v>169</v>
      </c>
      <c r="B153" s="110">
        <v>72154055</v>
      </c>
      <c r="C153" s="119">
        <v>10801</v>
      </c>
      <c r="D153" s="111" t="s">
        <v>176</v>
      </c>
      <c r="E153" s="110">
        <v>1</v>
      </c>
      <c r="F153" s="110" t="s">
        <v>20</v>
      </c>
      <c r="G153" s="118">
        <v>250000</v>
      </c>
      <c r="H153" s="112" t="s">
        <v>19</v>
      </c>
      <c r="I153" s="101" t="s">
        <v>335</v>
      </c>
    </row>
    <row r="154" spans="1:11" ht="30" x14ac:dyDescent="0.25">
      <c r="A154" s="110">
        <v>169</v>
      </c>
      <c r="B154" s="110">
        <v>72154055</v>
      </c>
      <c r="C154" s="119">
        <v>10801</v>
      </c>
      <c r="D154" s="111" t="s">
        <v>176</v>
      </c>
      <c r="E154" s="110">
        <v>1</v>
      </c>
      <c r="F154" s="110" t="s">
        <v>20</v>
      </c>
      <c r="G154" s="118">
        <v>250000</v>
      </c>
      <c r="H154" s="112" t="s">
        <v>19</v>
      </c>
      <c r="I154" s="101" t="s">
        <v>334</v>
      </c>
      <c r="J154" s="31">
        <v>1500000</v>
      </c>
    </row>
    <row r="155" spans="1:11" ht="30" x14ac:dyDescent="0.25">
      <c r="A155" s="110">
        <v>169</v>
      </c>
      <c r="B155" s="110">
        <v>72154055</v>
      </c>
      <c r="C155" s="119">
        <v>10801</v>
      </c>
      <c r="D155" s="111" t="s">
        <v>176</v>
      </c>
      <c r="E155" s="110">
        <v>1</v>
      </c>
      <c r="F155" s="110" t="s">
        <v>20</v>
      </c>
      <c r="G155" s="118">
        <v>250000</v>
      </c>
      <c r="H155" s="112" t="s">
        <v>19</v>
      </c>
      <c r="I155" s="101" t="s">
        <v>336</v>
      </c>
    </row>
    <row r="156" spans="1:11" ht="30" x14ac:dyDescent="0.25">
      <c r="A156" s="106">
        <v>169</v>
      </c>
      <c r="B156" s="106"/>
      <c r="C156" s="121"/>
      <c r="D156" s="107" t="s">
        <v>177</v>
      </c>
      <c r="E156" s="106"/>
      <c r="F156" s="106"/>
      <c r="G156" s="114">
        <f>SUBTOTAL(9,G157)</f>
        <v>1500000</v>
      </c>
      <c r="H156" s="108" t="s">
        <v>19</v>
      </c>
      <c r="I156" s="106"/>
      <c r="J156" s="31">
        <v>18972143</v>
      </c>
    </row>
    <row r="157" spans="1:11" ht="30" x14ac:dyDescent="0.25">
      <c r="A157" s="110">
        <v>169</v>
      </c>
      <c r="B157" s="110">
        <v>81101701</v>
      </c>
      <c r="C157" s="119">
        <v>10804</v>
      </c>
      <c r="D157" s="111" t="s">
        <v>177</v>
      </c>
      <c r="E157" s="110">
        <v>1</v>
      </c>
      <c r="F157" s="110" t="s">
        <v>20</v>
      </c>
      <c r="G157" s="118">
        <v>1500000</v>
      </c>
      <c r="H157" s="112" t="s">
        <v>19</v>
      </c>
      <c r="I157" s="101" t="s">
        <v>335</v>
      </c>
    </row>
    <row r="158" spans="1:11" ht="30" x14ac:dyDescent="0.25">
      <c r="A158" s="106">
        <v>169</v>
      </c>
      <c r="B158" s="106"/>
      <c r="C158" s="121"/>
      <c r="D158" s="107" t="s">
        <v>38</v>
      </c>
      <c r="E158" s="106"/>
      <c r="F158" s="106"/>
      <c r="G158" s="99">
        <f>SUBTOTAL(9,G159:G162)</f>
        <v>14519852</v>
      </c>
      <c r="H158" s="108" t="s">
        <v>19</v>
      </c>
      <c r="I158" s="106"/>
    </row>
    <row r="159" spans="1:11" ht="30" x14ac:dyDescent="0.25">
      <c r="A159" s="110">
        <v>169</v>
      </c>
      <c r="B159" s="110">
        <v>78181507</v>
      </c>
      <c r="C159" s="119">
        <v>10805</v>
      </c>
      <c r="D159" s="111" t="s">
        <v>178</v>
      </c>
      <c r="E159" s="110">
        <v>1</v>
      </c>
      <c r="F159" s="110" t="s">
        <v>20</v>
      </c>
      <c r="G159" s="118">
        <v>4743035</v>
      </c>
      <c r="H159" s="112" t="s">
        <v>19</v>
      </c>
      <c r="I159" s="101" t="s">
        <v>246</v>
      </c>
      <c r="K159" s="28" t="s">
        <v>242</v>
      </c>
    </row>
    <row r="160" spans="1:11" ht="30" x14ac:dyDescent="0.25">
      <c r="A160" s="110">
        <v>169</v>
      </c>
      <c r="B160" s="110">
        <v>78181507</v>
      </c>
      <c r="C160" s="119">
        <v>10805</v>
      </c>
      <c r="D160" s="111" t="s">
        <v>178</v>
      </c>
      <c r="E160" s="110">
        <v>1</v>
      </c>
      <c r="F160" s="110" t="s">
        <v>20</v>
      </c>
      <c r="G160" s="118">
        <v>4743035</v>
      </c>
      <c r="H160" s="112" t="s">
        <v>19</v>
      </c>
      <c r="I160" s="101" t="s">
        <v>335</v>
      </c>
      <c r="K160" s="28" t="s">
        <v>242</v>
      </c>
    </row>
    <row r="161" spans="1:13" ht="30" x14ac:dyDescent="0.25">
      <c r="A161" s="110">
        <v>169</v>
      </c>
      <c r="B161" s="110">
        <v>78181507</v>
      </c>
      <c r="C161" s="119">
        <v>10805</v>
      </c>
      <c r="D161" s="111" t="s">
        <v>178</v>
      </c>
      <c r="E161" s="110">
        <v>1</v>
      </c>
      <c r="F161" s="110" t="s">
        <v>20</v>
      </c>
      <c r="G161" s="118">
        <f>4743035-2500000</f>
        <v>2243035</v>
      </c>
      <c r="H161" s="112" t="s">
        <v>19</v>
      </c>
      <c r="I161" s="101" t="s">
        <v>334</v>
      </c>
      <c r="J161" s="31">
        <v>1000000</v>
      </c>
    </row>
    <row r="162" spans="1:13" ht="30" x14ac:dyDescent="0.25">
      <c r="A162" s="110">
        <v>169</v>
      </c>
      <c r="B162" s="110">
        <v>78181507</v>
      </c>
      <c r="C162" s="119">
        <v>10805</v>
      </c>
      <c r="D162" s="111" t="s">
        <v>178</v>
      </c>
      <c r="E162" s="110">
        <v>1</v>
      </c>
      <c r="F162" s="110" t="s">
        <v>20</v>
      </c>
      <c r="G162" s="118">
        <v>2790747</v>
      </c>
      <c r="H162" s="112" t="s">
        <v>19</v>
      </c>
      <c r="I162" s="101" t="s">
        <v>336</v>
      </c>
      <c r="K162" s="28" t="s">
        <v>243</v>
      </c>
      <c r="M162" s="28" t="s">
        <v>391</v>
      </c>
    </row>
    <row r="163" spans="1:13" ht="30" x14ac:dyDescent="0.25">
      <c r="A163" s="106">
        <v>169</v>
      </c>
      <c r="B163" s="106"/>
      <c r="C163" s="121"/>
      <c r="D163" s="107" t="s">
        <v>179</v>
      </c>
      <c r="E163" s="106"/>
      <c r="F163" s="106"/>
      <c r="G163" s="99">
        <f>SUBTOTAL(9,G164)</f>
        <v>3500000</v>
      </c>
      <c r="H163" s="108" t="s">
        <v>19</v>
      </c>
      <c r="I163" s="106"/>
      <c r="J163" s="31">
        <v>1000000</v>
      </c>
    </row>
    <row r="164" spans="1:13" ht="30" x14ac:dyDescent="0.25">
      <c r="A164" s="110">
        <v>169</v>
      </c>
      <c r="B164" s="110">
        <v>72103302</v>
      </c>
      <c r="C164" s="119">
        <v>10806</v>
      </c>
      <c r="D164" s="111" t="s">
        <v>179</v>
      </c>
      <c r="E164" s="110">
        <v>1</v>
      </c>
      <c r="F164" s="110" t="s">
        <v>20</v>
      </c>
      <c r="G164" s="118">
        <f>2500000+1000000</f>
        <v>3500000</v>
      </c>
      <c r="H164" s="115" t="s">
        <v>19</v>
      </c>
      <c r="I164" s="101" t="s">
        <v>335</v>
      </c>
    </row>
    <row r="165" spans="1:13" ht="30" x14ac:dyDescent="0.25">
      <c r="A165" s="106">
        <v>169</v>
      </c>
      <c r="B165" s="106"/>
      <c r="C165" s="121"/>
      <c r="D165" s="107" t="s">
        <v>39</v>
      </c>
      <c r="E165" s="106"/>
      <c r="F165" s="106"/>
      <c r="G165" s="99">
        <f>SUBTOTAL(9,G166:G170)</f>
        <v>2000000</v>
      </c>
      <c r="H165" s="108" t="s">
        <v>19</v>
      </c>
      <c r="I165" s="106"/>
    </row>
    <row r="166" spans="1:13" ht="30" x14ac:dyDescent="0.25">
      <c r="A166" s="110">
        <v>169</v>
      </c>
      <c r="B166" s="110">
        <v>72101511</v>
      </c>
      <c r="C166" s="119">
        <v>10807</v>
      </c>
      <c r="D166" s="111" t="s">
        <v>40</v>
      </c>
      <c r="E166" s="110">
        <v>2</v>
      </c>
      <c r="F166" s="110" t="s">
        <v>20</v>
      </c>
      <c r="G166" s="104">
        <v>200000</v>
      </c>
      <c r="H166" s="112" t="s">
        <v>19</v>
      </c>
      <c r="I166" s="101" t="s">
        <v>246</v>
      </c>
    </row>
    <row r="167" spans="1:13" ht="30" x14ac:dyDescent="0.25">
      <c r="A167" s="110">
        <v>169</v>
      </c>
      <c r="B167" s="110">
        <v>72101511</v>
      </c>
      <c r="C167" s="119">
        <v>10807</v>
      </c>
      <c r="D167" s="111" t="s">
        <v>40</v>
      </c>
      <c r="E167" s="110">
        <v>11</v>
      </c>
      <c r="F167" s="110" t="s">
        <v>20</v>
      </c>
      <c r="G167" s="104">
        <v>200000</v>
      </c>
      <c r="H167" s="112" t="s">
        <v>19</v>
      </c>
      <c r="I167" s="101" t="s">
        <v>335</v>
      </c>
      <c r="K167" s="28" t="s">
        <v>243</v>
      </c>
    </row>
    <row r="168" spans="1:13" ht="30" x14ac:dyDescent="0.25">
      <c r="A168" s="110">
        <v>169</v>
      </c>
      <c r="B168" s="110">
        <v>72101511</v>
      </c>
      <c r="C168" s="119">
        <v>10807</v>
      </c>
      <c r="D168" s="111" t="s">
        <v>40</v>
      </c>
      <c r="E168" s="110">
        <v>1</v>
      </c>
      <c r="F168" s="110" t="s">
        <v>20</v>
      </c>
      <c r="G168" s="104">
        <v>200000</v>
      </c>
      <c r="H168" s="112" t="s">
        <v>19</v>
      </c>
      <c r="I168" s="101" t="s">
        <v>334</v>
      </c>
    </row>
    <row r="169" spans="1:13" ht="30" x14ac:dyDescent="0.25">
      <c r="A169" s="110">
        <v>169</v>
      </c>
      <c r="B169" s="110">
        <v>72101511</v>
      </c>
      <c r="C169" s="119">
        <v>10807</v>
      </c>
      <c r="D169" s="111" t="s">
        <v>40</v>
      </c>
      <c r="E169" s="110">
        <v>1</v>
      </c>
      <c r="F169" s="110" t="s">
        <v>20</v>
      </c>
      <c r="G169" s="104">
        <v>200000</v>
      </c>
      <c r="H169" s="112" t="s">
        <v>19</v>
      </c>
      <c r="I169" s="101" t="s">
        <v>336</v>
      </c>
      <c r="J169" s="31">
        <v>21931466</v>
      </c>
    </row>
    <row r="170" spans="1:13" x14ac:dyDescent="0.25">
      <c r="A170" s="110">
        <v>169</v>
      </c>
      <c r="B170" s="110">
        <v>72101505</v>
      </c>
      <c r="C170" s="119">
        <v>10807</v>
      </c>
      <c r="D170" s="122" t="s">
        <v>180</v>
      </c>
      <c r="E170" s="123">
        <v>5</v>
      </c>
      <c r="F170" s="110" t="s">
        <v>20</v>
      </c>
      <c r="G170" s="104">
        <v>1200000</v>
      </c>
      <c r="H170" s="112" t="s">
        <v>19</v>
      </c>
      <c r="I170" s="101" t="s">
        <v>335</v>
      </c>
    </row>
    <row r="171" spans="1:13" ht="30" x14ac:dyDescent="0.25">
      <c r="A171" s="106">
        <v>169</v>
      </c>
      <c r="B171" s="106"/>
      <c r="C171" s="121"/>
      <c r="D171" s="107" t="s">
        <v>41</v>
      </c>
      <c r="E171" s="106"/>
      <c r="F171" s="106"/>
      <c r="G171" s="99">
        <f>SUBTOTAL(9,G172:G175)</f>
        <v>25000000</v>
      </c>
      <c r="H171" s="108" t="s">
        <v>19</v>
      </c>
      <c r="I171" s="106"/>
    </row>
    <row r="172" spans="1:13" ht="45" x14ac:dyDescent="0.25">
      <c r="A172" s="110">
        <v>169</v>
      </c>
      <c r="B172" s="110">
        <v>81112220</v>
      </c>
      <c r="C172" s="119">
        <v>10808</v>
      </c>
      <c r="D172" s="111" t="s">
        <v>181</v>
      </c>
      <c r="E172" s="110">
        <v>3</v>
      </c>
      <c r="F172" s="110" t="s">
        <v>20</v>
      </c>
      <c r="G172" s="113">
        <v>6482866</v>
      </c>
      <c r="H172" s="112" t="s">
        <v>19</v>
      </c>
      <c r="I172" s="101" t="s">
        <v>335</v>
      </c>
      <c r="K172" s="28" t="s">
        <v>239</v>
      </c>
    </row>
    <row r="173" spans="1:13" ht="45" x14ac:dyDescent="0.25">
      <c r="A173" s="124" t="s">
        <v>182</v>
      </c>
      <c r="B173" s="110">
        <v>81112220</v>
      </c>
      <c r="C173" s="119">
        <v>10808</v>
      </c>
      <c r="D173" s="111" t="s">
        <v>181</v>
      </c>
      <c r="E173" s="110">
        <v>3</v>
      </c>
      <c r="F173" s="110" t="s">
        <v>20</v>
      </c>
      <c r="G173" s="113">
        <v>6517134</v>
      </c>
      <c r="H173" s="112" t="s">
        <v>19</v>
      </c>
      <c r="I173" s="101" t="s">
        <v>335</v>
      </c>
      <c r="K173" s="28" t="s">
        <v>239</v>
      </c>
    </row>
    <row r="174" spans="1:13" ht="45" x14ac:dyDescent="0.25">
      <c r="A174" s="124" t="s">
        <v>182</v>
      </c>
      <c r="B174" s="110">
        <v>81112220</v>
      </c>
      <c r="C174" s="119">
        <v>10808</v>
      </c>
      <c r="D174" s="111" t="s">
        <v>181</v>
      </c>
      <c r="E174" s="110">
        <v>3</v>
      </c>
      <c r="F174" s="110" t="s">
        <v>20</v>
      </c>
      <c r="G174" s="113">
        <v>6000000</v>
      </c>
      <c r="H174" s="112" t="s">
        <v>19</v>
      </c>
      <c r="I174" s="101" t="s">
        <v>334</v>
      </c>
      <c r="J174" s="31">
        <v>700000</v>
      </c>
    </row>
    <row r="175" spans="1:13" ht="45" x14ac:dyDescent="0.25">
      <c r="A175" s="124" t="s">
        <v>182</v>
      </c>
      <c r="B175" s="110">
        <v>81112220</v>
      </c>
      <c r="C175" s="119">
        <v>10808</v>
      </c>
      <c r="D175" s="111" t="s">
        <v>181</v>
      </c>
      <c r="E175" s="110">
        <v>3</v>
      </c>
      <c r="F175" s="110" t="s">
        <v>20</v>
      </c>
      <c r="G175" s="113">
        <v>6000000</v>
      </c>
      <c r="H175" s="112" t="s">
        <v>19</v>
      </c>
      <c r="I175" s="101" t="s">
        <v>336</v>
      </c>
    </row>
    <row r="176" spans="1:13" x14ac:dyDescent="0.25">
      <c r="A176" s="125" t="s">
        <v>182</v>
      </c>
      <c r="B176" s="106"/>
      <c r="C176" s="121"/>
      <c r="D176" s="107" t="s">
        <v>183</v>
      </c>
      <c r="E176" s="106"/>
      <c r="F176" s="106"/>
      <c r="G176" s="114">
        <f>SUBTOTAL(9,G177:G179)</f>
        <v>700000</v>
      </c>
      <c r="H176" s="108" t="s">
        <v>19</v>
      </c>
      <c r="I176" s="106"/>
    </row>
    <row r="177" spans="1:13" ht="30" x14ac:dyDescent="0.25">
      <c r="A177" s="124" t="s">
        <v>182</v>
      </c>
      <c r="B177" s="112" t="s">
        <v>184</v>
      </c>
      <c r="C177" s="119">
        <v>19902</v>
      </c>
      <c r="D177" s="111" t="s">
        <v>185</v>
      </c>
      <c r="E177" s="110">
        <v>1</v>
      </c>
      <c r="F177" s="110" t="s">
        <v>20</v>
      </c>
      <c r="G177" s="113">
        <v>200000</v>
      </c>
      <c r="H177" s="112" t="s">
        <v>19</v>
      </c>
      <c r="I177" s="101" t="s">
        <v>246</v>
      </c>
    </row>
    <row r="178" spans="1:13" ht="30" x14ac:dyDescent="0.25">
      <c r="A178" s="124" t="s">
        <v>182</v>
      </c>
      <c r="B178" s="112" t="s">
        <v>184</v>
      </c>
      <c r="C178" s="119">
        <v>19902</v>
      </c>
      <c r="D178" s="111" t="s">
        <v>185</v>
      </c>
      <c r="E178" s="110">
        <v>1</v>
      </c>
      <c r="F178" s="110" t="s">
        <v>20</v>
      </c>
      <c r="G178" s="113">
        <v>250000</v>
      </c>
      <c r="H178" s="112" t="s">
        <v>19</v>
      </c>
      <c r="I178" s="101" t="s">
        <v>335</v>
      </c>
      <c r="J178" s="31">
        <v>7625000</v>
      </c>
    </row>
    <row r="179" spans="1:13" ht="30" x14ac:dyDescent="0.25">
      <c r="A179" s="124" t="s">
        <v>182</v>
      </c>
      <c r="B179" s="112" t="s">
        <v>184</v>
      </c>
      <c r="C179" s="119">
        <v>19902</v>
      </c>
      <c r="D179" s="111" t="s">
        <v>185</v>
      </c>
      <c r="E179" s="110">
        <v>1</v>
      </c>
      <c r="F179" s="110" t="s">
        <v>20</v>
      </c>
      <c r="G179" s="113">
        <v>250000</v>
      </c>
      <c r="H179" s="112" t="s">
        <v>19</v>
      </c>
      <c r="I179" s="101" t="s">
        <v>334</v>
      </c>
    </row>
    <row r="180" spans="1:13" x14ac:dyDescent="0.25">
      <c r="A180" s="106">
        <v>169</v>
      </c>
      <c r="B180" s="106"/>
      <c r="C180" s="121"/>
      <c r="D180" s="107" t="s">
        <v>186</v>
      </c>
      <c r="E180" s="106"/>
      <c r="F180" s="106"/>
      <c r="G180" s="126">
        <f>SUBTOTAL(9,G181:G184)</f>
        <v>7625000</v>
      </c>
      <c r="H180" s="108" t="s">
        <v>19</v>
      </c>
      <c r="I180" s="106"/>
    </row>
    <row r="181" spans="1:13" x14ac:dyDescent="0.25">
      <c r="A181" s="110">
        <v>169</v>
      </c>
      <c r="B181" s="112" t="s">
        <v>187</v>
      </c>
      <c r="C181" s="119">
        <v>19905</v>
      </c>
      <c r="D181" s="111" t="s">
        <v>186</v>
      </c>
      <c r="E181" s="110">
        <v>1</v>
      </c>
      <c r="F181" s="110" t="s">
        <v>20</v>
      </c>
      <c r="G181" s="118">
        <v>1906250</v>
      </c>
      <c r="H181" s="112" t="s">
        <v>19</v>
      </c>
      <c r="I181" s="101" t="s">
        <v>246</v>
      </c>
    </row>
    <row r="182" spans="1:13" x14ac:dyDescent="0.25">
      <c r="A182" s="110">
        <v>169</v>
      </c>
      <c r="B182" s="112" t="s">
        <v>187</v>
      </c>
      <c r="C182" s="119">
        <v>19905</v>
      </c>
      <c r="D182" s="111" t="s">
        <v>186</v>
      </c>
      <c r="E182" s="110">
        <v>1</v>
      </c>
      <c r="F182" s="110" t="s">
        <v>20</v>
      </c>
      <c r="G182" s="118">
        <v>1906250</v>
      </c>
      <c r="H182" s="112" t="s">
        <v>19</v>
      </c>
      <c r="I182" s="101" t="s">
        <v>335</v>
      </c>
    </row>
    <row r="183" spans="1:13" x14ac:dyDescent="0.25">
      <c r="A183" s="110">
        <v>169</v>
      </c>
      <c r="B183" s="112" t="s">
        <v>187</v>
      </c>
      <c r="C183" s="119">
        <v>19905</v>
      </c>
      <c r="D183" s="111" t="s">
        <v>186</v>
      </c>
      <c r="E183" s="110">
        <v>1</v>
      </c>
      <c r="F183" s="110" t="s">
        <v>20</v>
      </c>
      <c r="G183" s="118">
        <v>1906250</v>
      </c>
      <c r="H183" s="112" t="s">
        <v>19</v>
      </c>
      <c r="I183" s="101" t="s">
        <v>334</v>
      </c>
    </row>
    <row r="184" spans="1:13" x14ac:dyDescent="0.25">
      <c r="A184" s="110">
        <v>169</v>
      </c>
      <c r="B184" s="112" t="s">
        <v>187</v>
      </c>
      <c r="C184" s="119">
        <v>19905</v>
      </c>
      <c r="D184" s="111" t="s">
        <v>186</v>
      </c>
      <c r="E184" s="110">
        <v>1</v>
      </c>
      <c r="F184" s="110" t="s">
        <v>20</v>
      </c>
      <c r="G184" s="118">
        <v>1906250</v>
      </c>
      <c r="H184" s="112" t="s">
        <v>19</v>
      </c>
      <c r="I184" s="101" t="s">
        <v>336</v>
      </c>
    </row>
    <row r="185" spans="1:13" x14ac:dyDescent="0.25">
      <c r="A185" s="106">
        <v>169</v>
      </c>
      <c r="B185" s="106"/>
      <c r="C185" s="121"/>
      <c r="D185" s="107" t="s">
        <v>327</v>
      </c>
      <c r="E185" s="106"/>
      <c r="F185" s="106"/>
      <c r="G185" s="126">
        <f>SUBTOTAL(9,G186)</f>
        <v>285780</v>
      </c>
      <c r="H185" s="108" t="s">
        <v>19</v>
      </c>
      <c r="I185" s="106"/>
      <c r="J185" s="31">
        <v>7000000</v>
      </c>
      <c r="M185" s="127"/>
    </row>
    <row r="186" spans="1:13" x14ac:dyDescent="0.25">
      <c r="A186" s="110">
        <v>169</v>
      </c>
      <c r="B186" s="112" t="s">
        <v>328</v>
      </c>
      <c r="C186" s="119">
        <v>19999</v>
      </c>
      <c r="D186" s="111" t="s">
        <v>249</v>
      </c>
      <c r="E186" s="110">
        <v>1</v>
      </c>
      <c r="F186" s="110" t="s">
        <v>20</v>
      </c>
      <c r="G186" s="118">
        <v>285780</v>
      </c>
      <c r="H186" s="112"/>
      <c r="I186" s="101" t="s">
        <v>246</v>
      </c>
    </row>
    <row r="187" spans="1:13" x14ac:dyDescent="0.25">
      <c r="A187" s="106">
        <v>169</v>
      </c>
      <c r="B187" s="106"/>
      <c r="C187" s="121"/>
      <c r="D187" s="107" t="s">
        <v>42</v>
      </c>
      <c r="E187" s="106"/>
      <c r="F187" s="106"/>
      <c r="G187" s="126">
        <f>SUBTOTAL(9,G188:G195)</f>
        <v>14774400</v>
      </c>
      <c r="H187" s="108" t="s">
        <v>19</v>
      </c>
      <c r="I187" s="106"/>
    </row>
    <row r="188" spans="1:13" x14ac:dyDescent="0.25">
      <c r="A188" s="110">
        <v>169</v>
      </c>
      <c r="B188" s="110">
        <v>15101505</v>
      </c>
      <c r="C188" s="119">
        <v>20101</v>
      </c>
      <c r="D188" s="111" t="s">
        <v>43</v>
      </c>
      <c r="E188" s="110">
        <v>1</v>
      </c>
      <c r="F188" s="110" t="s">
        <v>20</v>
      </c>
      <c r="G188" s="118">
        <v>250000</v>
      </c>
      <c r="H188" s="112" t="s">
        <v>19</v>
      </c>
      <c r="I188" s="101" t="s">
        <v>333</v>
      </c>
      <c r="M188" s="28" t="s">
        <v>391</v>
      </c>
    </row>
    <row r="189" spans="1:13" x14ac:dyDescent="0.25">
      <c r="A189" s="110">
        <v>169</v>
      </c>
      <c r="B189" s="110">
        <v>15101505</v>
      </c>
      <c r="C189" s="119">
        <v>20101</v>
      </c>
      <c r="D189" s="111" t="s">
        <v>43</v>
      </c>
      <c r="E189" s="110">
        <v>1</v>
      </c>
      <c r="F189" s="110" t="s">
        <v>20</v>
      </c>
      <c r="G189" s="118">
        <v>250000</v>
      </c>
      <c r="H189" s="112" t="s">
        <v>19</v>
      </c>
      <c r="I189" s="101" t="s">
        <v>335</v>
      </c>
    </row>
    <row r="190" spans="1:13" x14ac:dyDescent="0.25">
      <c r="A190" s="110">
        <v>169</v>
      </c>
      <c r="B190" s="110">
        <v>15101505</v>
      </c>
      <c r="C190" s="119">
        <v>20101</v>
      </c>
      <c r="D190" s="111" t="s">
        <v>43</v>
      </c>
      <c r="E190" s="110">
        <v>1</v>
      </c>
      <c r="F190" s="110" t="s">
        <v>20</v>
      </c>
      <c r="G190" s="118">
        <f>250000+4000000</f>
        <v>4250000</v>
      </c>
      <c r="H190" s="112" t="s">
        <v>19</v>
      </c>
      <c r="I190" s="101" t="s">
        <v>334</v>
      </c>
    </row>
    <row r="191" spans="1:13" x14ac:dyDescent="0.25">
      <c r="A191" s="110">
        <v>169</v>
      </c>
      <c r="B191" s="110">
        <v>15101505</v>
      </c>
      <c r="C191" s="119">
        <v>20101</v>
      </c>
      <c r="D191" s="111" t="s">
        <v>43</v>
      </c>
      <c r="E191" s="110">
        <v>1</v>
      </c>
      <c r="F191" s="110" t="s">
        <v>20</v>
      </c>
      <c r="G191" s="118">
        <v>250000</v>
      </c>
      <c r="H191" s="112" t="s">
        <v>19</v>
      </c>
      <c r="I191" s="101" t="s">
        <v>336</v>
      </c>
      <c r="M191" s="28" t="s">
        <v>391</v>
      </c>
    </row>
    <row r="192" spans="1:13" x14ac:dyDescent="0.25">
      <c r="A192" s="110">
        <v>169</v>
      </c>
      <c r="B192" s="110">
        <v>15101506</v>
      </c>
      <c r="C192" s="119">
        <v>20101</v>
      </c>
      <c r="D192" s="111" t="s">
        <v>44</v>
      </c>
      <c r="E192" s="110">
        <v>1</v>
      </c>
      <c r="F192" s="110" t="s">
        <v>20</v>
      </c>
      <c r="G192" s="118">
        <v>1774400</v>
      </c>
      <c r="H192" s="112" t="s">
        <v>19</v>
      </c>
      <c r="I192" s="101" t="s">
        <v>333</v>
      </c>
    </row>
    <row r="193" spans="1:10" x14ac:dyDescent="0.25">
      <c r="A193" s="110">
        <v>169</v>
      </c>
      <c r="B193" s="110">
        <v>15101506</v>
      </c>
      <c r="C193" s="119">
        <v>20101</v>
      </c>
      <c r="D193" s="111" t="s">
        <v>44</v>
      </c>
      <c r="E193" s="110">
        <v>1</v>
      </c>
      <c r="F193" s="110" t="s">
        <v>20</v>
      </c>
      <c r="G193" s="118">
        <f>1500000+3500000</f>
        <v>5000000</v>
      </c>
      <c r="H193" s="112" t="s">
        <v>19</v>
      </c>
      <c r="I193" s="101" t="s">
        <v>335</v>
      </c>
    </row>
    <row r="194" spans="1:10" x14ac:dyDescent="0.25">
      <c r="A194" s="110">
        <v>169</v>
      </c>
      <c r="B194" s="110">
        <v>15101506</v>
      </c>
      <c r="C194" s="119">
        <v>20101</v>
      </c>
      <c r="D194" s="111" t="s">
        <v>44</v>
      </c>
      <c r="E194" s="110">
        <v>1</v>
      </c>
      <c r="F194" s="110" t="s">
        <v>20</v>
      </c>
      <c r="G194" s="118">
        <v>1500000</v>
      </c>
      <c r="H194" s="112" t="s">
        <v>19</v>
      </c>
      <c r="I194" s="101" t="s">
        <v>334</v>
      </c>
      <c r="J194" s="31">
        <v>2775000</v>
      </c>
    </row>
    <row r="195" spans="1:10" x14ac:dyDescent="0.25">
      <c r="A195" s="110">
        <v>169</v>
      </c>
      <c r="B195" s="110">
        <v>15101506</v>
      </c>
      <c r="C195" s="119">
        <v>20101</v>
      </c>
      <c r="D195" s="111" t="s">
        <v>44</v>
      </c>
      <c r="E195" s="110">
        <v>1</v>
      </c>
      <c r="F195" s="110" t="s">
        <v>20</v>
      </c>
      <c r="G195" s="118">
        <v>1500000</v>
      </c>
      <c r="H195" s="112" t="s">
        <v>19</v>
      </c>
      <c r="I195" s="101" t="s">
        <v>336</v>
      </c>
    </row>
    <row r="196" spans="1:10" ht="30" x14ac:dyDescent="0.25">
      <c r="A196" s="106">
        <v>169</v>
      </c>
      <c r="B196" s="106"/>
      <c r="C196" s="121"/>
      <c r="D196" s="107" t="s">
        <v>45</v>
      </c>
      <c r="E196" s="106"/>
      <c r="F196" s="106"/>
      <c r="G196" s="126">
        <f>SUBTOTAL(9,G197:G227)</f>
        <v>2775000</v>
      </c>
      <c r="H196" s="108" t="s">
        <v>19</v>
      </c>
      <c r="I196" s="106"/>
    </row>
    <row r="197" spans="1:10" x14ac:dyDescent="0.25">
      <c r="A197" s="110">
        <v>169</v>
      </c>
      <c r="B197" s="55">
        <v>51282301</v>
      </c>
      <c r="C197" s="110">
        <v>20102</v>
      </c>
      <c r="D197" s="122" t="s">
        <v>118</v>
      </c>
      <c r="E197" s="110">
        <v>130</v>
      </c>
      <c r="F197" s="110" t="s">
        <v>188</v>
      </c>
      <c r="G197" s="118">
        <v>300000</v>
      </c>
      <c r="H197" s="112" t="s">
        <v>19</v>
      </c>
      <c r="I197" s="101" t="s">
        <v>335</v>
      </c>
    </row>
    <row r="198" spans="1:10" x14ac:dyDescent="0.25">
      <c r="A198" s="110">
        <v>169</v>
      </c>
      <c r="B198" s="35">
        <v>51284119</v>
      </c>
      <c r="C198" s="110">
        <v>20102</v>
      </c>
      <c r="D198" s="111" t="s">
        <v>119</v>
      </c>
      <c r="E198" s="110">
        <v>100</v>
      </c>
      <c r="F198" s="110" t="s">
        <v>188</v>
      </c>
      <c r="G198" s="118">
        <v>150000</v>
      </c>
      <c r="H198" s="112" t="s">
        <v>19</v>
      </c>
      <c r="I198" s="101" t="s">
        <v>335</v>
      </c>
    </row>
    <row r="199" spans="1:10" x14ac:dyDescent="0.25">
      <c r="A199" s="110">
        <v>169</v>
      </c>
      <c r="B199" s="35">
        <v>51171840</v>
      </c>
      <c r="C199" s="110">
        <v>20102</v>
      </c>
      <c r="D199" s="111" t="s">
        <v>189</v>
      </c>
      <c r="E199" s="110">
        <v>20</v>
      </c>
      <c r="F199" s="110" t="s">
        <v>188</v>
      </c>
      <c r="G199" s="118">
        <v>50000</v>
      </c>
      <c r="H199" s="112" t="s">
        <v>19</v>
      </c>
      <c r="I199" s="101" t="s">
        <v>335</v>
      </c>
    </row>
    <row r="200" spans="1:10" x14ac:dyDescent="0.25">
      <c r="A200" s="110">
        <v>169</v>
      </c>
      <c r="B200" s="35" t="s">
        <v>190</v>
      </c>
      <c r="C200" s="110">
        <v>20102</v>
      </c>
      <c r="D200" s="111" t="s">
        <v>120</v>
      </c>
      <c r="E200" s="110">
        <v>10</v>
      </c>
      <c r="F200" s="110" t="s">
        <v>188</v>
      </c>
      <c r="G200" s="118">
        <v>100000</v>
      </c>
      <c r="H200" s="112" t="s">
        <v>19</v>
      </c>
      <c r="I200" s="101" t="s">
        <v>335</v>
      </c>
    </row>
    <row r="201" spans="1:10" x14ac:dyDescent="0.25">
      <c r="A201" s="110">
        <v>169</v>
      </c>
      <c r="B201" s="35">
        <v>51385805</v>
      </c>
      <c r="C201" s="110">
        <v>20102</v>
      </c>
      <c r="D201" s="111" t="s">
        <v>191</v>
      </c>
      <c r="E201" s="110">
        <v>40</v>
      </c>
      <c r="F201" s="110" t="s">
        <v>188</v>
      </c>
      <c r="G201" s="113">
        <v>100000</v>
      </c>
      <c r="H201" s="112" t="s">
        <v>19</v>
      </c>
      <c r="I201" s="101" t="s">
        <v>335</v>
      </c>
    </row>
    <row r="202" spans="1:10" x14ac:dyDescent="0.25">
      <c r="A202" s="110">
        <v>169</v>
      </c>
      <c r="B202" s="35">
        <v>51282912</v>
      </c>
      <c r="C202" s="110">
        <v>20102</v>
      </c>
      <c r="D202" s="111" t="s">
        <v>121</v>
      </c>
      <c r="E202" s="112" t="s">
        <v>192</v>
      </c>
      <c r="F202" s="110" t="s">
        <v>188</v>
      </c>
      <c r="G202" s="113">
        <v>100000</v>
      </c>
      <c r="H202" s="112" t="s">
        <v>19</v>
      </c>
      <c r="I202" s="101" t="s">
        <v>335</v>
      </c>
    </row>
    <row r="203" spans="1:10" x14ac:dyDescent="0.25">
      <c r="A203" s="110">
        <v>169</v>
      </c>
      <c r="B203" s="35">
        <v>51313101</v>
      </c>
      <c r="C203" s="110">
        <v>20102</v>
      </c>
      <c r="D203" s="111" t="s">
        <v>193</v>
      </c>
      <c r="E203" s="112" t="s">
        <v>194</v>
      </c>
      <c r="F203" s="110" t="s">
        <v>188</v>
      </c>
      <c r="G203" s="113">
        <v>150000</v>
      </c>
      <c r="H203" s="112" t="s">
        <v>19</v>
      </c>
      <c r="I203" s="101" t="s">
        <v>335</v>
      </c>
    </row>
    <row r="204" spans="1:10" x14ac:dyDescent="0.25">
      <c r="A204" s="110">
        <v>169</v>
      </c>
      <c r="B204" s="35">
        <v>51314306</v>
      </c>
      <c r="C204" s="110">
        <v>20102</v>
      </c>
      <c r="D204" s="111" t="s">
        <v>122</v>
      </c>
      <c r="E204" s="112" t="s">
        <v>195</v>
      </c>
      <c r="F204" s="110" t="s">
        <v>188</v>
      </c>
      <c r="G204" s="113">
        <v>150000</v>
      </c>
      <c r="H204" s="112" t="s">
        <v>19</v>
      </c>
      <c r="I204" s="101" t="s">
        <v>335</v>
      </c>
    </row>
    <row r="205" spans="1:10" x14ac:dyDescent="0.25">
      <c r="A205" s="110">
        <v>169</v>
      </c>
      <c r="B205" s="35">
        <v>51162305</v>
      </c>
      <c r="C205" s="110">
        <v>20102</v>
      </c>
      <c r="D205" s="111" t="s">
        <v>123</v>
      </c>
      <c r="E205" s="112" t="s">
        <v>196</v>
      </c>
      <c r="F205" s="110" t="s">
        <v>188</v>
      </c>
      <c r="G205" s="113">
        <v>150000</v>
      </c>
      <c r="H205" s="112" t="s">
        <v>19</v>
      </c>
      <c r="I205" s="101" t="s">
        <v>335</v>
      </c>
    </row>
    <row r="206" spans="1:10" x14ac:dyDescent="0.25">
      <c r="A206" s="110">
        <v>169</v>
      </c>
      <c r="B206" s="35">
        <v>51171840</v>
      </c>
      <c r="C206" s="110">
        <v>20102</v>
      </c>
      <c r="D206" s="111" t="s">
        <v>124</v>
      </c>
      <c r="E206" s="112" t="s">
        <v>195</v>
      </c>
      <c r="F206" s="110" t="s">
        <v>188</v>
      </c>
      <c r="G206" s="113">
        <v>50000</v>
      </c>
      <c r="H206" s="112" t="s">
        <v>19</v>
      </c>
      <c r="I206" s="101" t="s">
        <v>335</v>
      </c>
    </row>
    <row r="207" spans="1:10" x14ac:dyDescent="0.25">
      <c r="A207" s="110">
        <v>169</v>
      </c>
      <c r="B207" s="35">
        <v>51171808</v>
      </c>
      <c r="C207" s="110">
        <v>20102</v>
      </c>
      <c r="D207" s="111" t="s">
        <v>125</v>
      </c>
      <c r="E207" s="112" t="s">
        <v>197</v>
      </c>
      <c r="F207" s="110" t="s">
        <v>188</v>
      </c>
      <c r="G207" s="113">
        <v>50000</v>
      </c>
      <c r="H207" s="112" t="s">
        <v>19</v>
      </c>
      <c r="I207" s="101" t="s">
        <v>335</v>
      </c>
    </row>
    <row r="208" spans="1:10" x14ac:dyDescent="0.25">
      <c r="A208" s="110">
        <v>169</v>
      </c>
      <c r="B208" s="35">
        <v>51171704</v>
      </c>
      <c r="C208" s="110">
        <v>20102</v>
      </c>
      <c r="D208" s="111" t="s">
        <v>198</v>
      </c>
      <c r="E208" s="112" t="s">
        <v>195</v>
      </c>
      <c r="F208" s="110" t="s">
        <v>188</v>
      </c>
      <c r="G208" s="113">
        <v>50000</v>
      </c>
      <c r="H208" s="112" t="s">
        <v>19</v>
      </c>
      <c r="I208" s="101" t="s">
        <v>335</v>
      </c>
    </row>
    <row r="209" spans="1:13" x14ac:dyDescent="0.25">
      <c r="A209" s="110">
        <v>169</v>
      </c>
      <c r="B209" s="35">
        <v>50501801</v>
      </c>
      <c r="C209" s="110">
        <v>20102</v>
      </c>
      <c r="D209" s="111" t="s">
        <v>199</v>
      </c>
      <c r="E209" s="112" t="s">
        <v>195</v>
      </c>
      <c r="F209" s="110" t="s">
        <v>188</v>
      </c>
      <c r="G209" s="113">
        <v>50000</v>
      </c>
      <c r="H209" s="112" t="s">
        <v>19</v>
      </c>
      <c r="I209" s="101" t="s">
        <v>335</v>
      </c>
    </row>
    <row r="210" spans="1:13" x14ac:dyDescent="0.25">
      <c r="A210" s="110">
        <v>169</v>
      </c>
      <c r="B210" s="35">
        <v>51171911</v>
      </c>
      <c r="C210" s="110">
        <v>20102</v>
      </c>
      <c r="D210" s="111" t="s">
        <v>126</v>
      </c>
      <c r="E210" s="112" t="s">
        <v>200</v>
      </c>
      <c r="F210" s="110" t="s">
        <v>188</v>
      </c>
      <c r="G210" s="113">
        <v>150000</v>
      </c>
      <c r="H210" s="112" t="s">
        <v>19</v>
      </c>
      <c r="I210" s="101" t="s">
        <v>335</v>
      </c>
    </row>
    <row r="211" spans="1:13" ht="30" x14ac:dyDescent="0.25">
      <c r="A211" s="110">
        <v>169</v>
      </c>
      <c r="B211" s="35">
        <v>51151912</v>
      </c>
      <c r="C211" s="110">
        <v>20102</v>
      </c>
      <c r="D211" s="111" t="s">
        <v>127</v>
      </c>
      <c r="E211" s="112" t="s">
        <v>201</v>
      </c>
      <c r="F211" s="110" t="s">
        <v>188</v>
      </c>
      <c r="G211" s="113">
        <v>50000</v>
      </c>
      <c r="H211" s="112" t="s">
        <v>19</v>
      </c>
      <c r="I211" s="101" t="s">
        <v>335</v>
      </c>
    </row>
    <row r="212" spans="1:13" x14ac:dyDescent="0.25">
      <c r="A212" s="110">
        <v>169</v>
      </c>
      <c r="B212" s="35">
        <v>51192457</v>
      </c>
      <c r="C212" s="110">
        <v>20102</v>
      </c>
      <c r="D212" s="111" t="s">
        <v>128</v>
      </c>
      <c r="E212" s="112" t="s">
        <v>202</v>
      </c>
      <c r="F212" s="110" t="s">
        <v>188</v>
      </c>
      <c r="G212" s="113">
        <v>120000</v>
      </c>
      <c r="H212" s="112" t="s">
        <v>19</v>
      </c>
      <c r="I212" s="101" t="s">
        <v>335</v>
      </c>
      <c r="K212" s="33"/>
    </row>
    <row r="213" spans="1:13" x14ac:dyDescent="0.25">
      <c r="A213" s="110">
        <v>169</v>
      </c>
      <c r="B213" s="35">
        <v>51383315</v>
      </c>
      <c r="C213" s="110">
        <v>20102</v>
      </c>
      <c r="D213" s="111" t="s">
        <v>129</v>
      </c>
      <c r="E213" s="112" t="s">
        <v>203</v>
      </c>
      <c r="F213" s="110" t="s">
        <v>188</v>
      </c>
      <c r="G213" s="113">
        <v>100000</v>
      </c>
      <c r="H213" s="112" t="s">
        <v>19</v>
      </c>
      <c r="I213" s="101" t="s">
        <v>335</v>
      </c>
    </row>
    <row r="214" spans="1:13" x14ac:dyDescent="0.25">
      <c r="A214" s="110">
        <v>169</v>
      </c>
      <c r="B214" s="35">
        <v>51142404</v>
      </c>
      <c r="C214" s="110">
        <v>20102</v>
      </c>
      <c r="D214" s="111" t="s">
        <v>130</v>
      </c>
      <c r="E214" s="112" t="s">
        <v>204</v>
      </c>
      <c r="F214" s="110" t="s">
        <v>188</v>
      </c>
      <c r="G214" s="113">
        <f>405000-120000-232000</f>
        <v>53000</v>
      </c>
      <c r="H214" s="112" t="s">
        <v>19</v>
      </c>
      <c r="I214" s="101" t="s">
        <v>335</v>
      </c>
    </row>
    <row r="215" spans="1:13" x14ac:dyDescent="0.25">
      <c r="A215" s="110">
        <v>169</v>
      </c>
      <c r="B215" s="35">
        <v>50501509</v>
      </c>
      <c r="C215" s="110">
        <v>20102</v>
      </c>
      <c r="D215" s="111" t="s">
        <v>131</v>
      </c>
      <c r="E215" s="112" t="s">
        <v>205</v>
      </c>
      <c r="F215" s="110" t="s">
        <v>188</v>
      </c>
      <c r="G215" s="113">
        <v>70000</v>
      </c>
      <c r="H215" s="112" t="s">
        <v>19</v>
      </c>
      <c r="I215" s="101" t="s">
        <v>335</v>
      </c>
    </row>
    <row r="216" spans="1:13" x14ac:dyDescent="0.25">
      <c r="A216" s="110">
        <v>169</v>
      </c>
      <c r="B216" s="35">
        <v>51191602</v>
      </c>
      <c r="C216" s="110">
        <v>20102</v>
      </c>
      <c r="D216" s="111" t="s">
        <v>132</v>
      </c>
      <c r="E216" s="112" t="s">
        <v>205</v>
      </c>
      <c r="F216" s="110" t="s">
        <v>133</v>
      </c>
      <c r="G216" s="113">
        <v>50000</v>
      </c>
      <c r="H216" s="112" t="s">
        <v>19</v>
      </c>
      <c r="I216" s="101" t="s">
        <v>335</v>
      </c>
    </row>
    <row r="217" spans="1:13" x14ac:dyDescent="0.25">
      <c r="A217" s="110">
        <v>169</v>
      </c>
      <c r="B217" s="35">
        <v>51384601</v>
      </c>
      <c r="C217" s="110">
        <v>20102</v>
      </c>
      <c r="D217" s="111" t="s">
        <v>134</v>
      </c>
      <c r="E217" s="112" t="s">
        <v>196</v>
      </c>
      <c r="F217" s="110" t="s">
        <v>188</v>
      </c>
      <c r="G217" s="113">
        <v>100000</v>
      </c>
      <c r="H217" s="112" t="s">
        <v>19</v>
      </c>
      <c r="I217" s="101" t="s">
        <v>335</v>
      </c>
    </row>
    <row r="218" spans="1:13" x14ac:dyDescent="0.25">
      <c r="A218" s="110">
        <v>169</v>
      </c>
      <c r="B218" s="35">
        <v>51151656</v>
      </c>
      <c r="C218" s="110">
        <v>20102</v>
      </c>
      <c r="D218" s="111" t="s">
        <v>206</v>
      </c>
      <c r="E218" s="112" t="s">
        <v>196</v>
      </c>
      <c r="F218" s="110" t="s">
        <v>188</v>
      </c>
      <c r="G218" s="113">
        <v>50000</v>
      </c>
      <c r="H218" s="112" t="s">
        <v>19</v>
      </c>
      <c r="I218" s="101" t="s">
        <v>335</v>
      </c>
      <c r="M218" s="28" t="s">
        <v>370</v>
      </c>
    </row>
    <row r="219" spans="1:13" x14ac:dyDescent="0.25">
      <c r="A219" s="110">
        <v>169</v>
      </c>
      <c r="B219" s="35" t="s">
        <v>207</v>
      </c>
      <c r="C219" s="110">
        <v>20102</v>
      </c>
      <c r="D219" s="111" t="s">
        <v>135</v>
      </c>
      <c r="E219" s="112" t="s">
        <v>200</v>
      </c>
      <c r="F219" s="110" t="s">
        <v>188</v>
      </c>
      <c r="G219" s="113">
        <v>50000</v>
      </c>
      <c r="H219" s="112" t="s">
        <v>19</v>
      </c>
      <c r="I219" s="101" t="s">
        <v>335</v>
      </c>
    </row>
    <row r="220" spans="1:13" x14ac:dyDescent="0.25">
      <c r="A220" s="110">
        <v>169</v>
      </c>
      <c r="B220" s="110">
        <v>51171709</v>
      </c>
      <c r="C220" s="110">
        <v>20102</v>
      </c>
      <c r="D220" s="111" t="s">
        <v>136</v>
      </c>
      <c r="E220" s="112" t="s">
        <v>388</v>
      </c>
      <c r="F220" s="110" t="s">
        <v>188</v>
      </c>
      <c r="G220" s="113">
        <f>200000-145000</f>
        <v>55000</v>
      </c>
      <c r="H220" s="112" t="s">
        <v>19</v>
      </c>
      <c r="I220" s="117" t="s">
        <v>335</v>
      </c>
    </row>
    <row r="221" spans="1:13" x14ac:dyDescent="0.25">
      <c r="A221" s="35">
        <v>169</v>
      </c>
      <c r="B221" s="35">
        <v>51285099</v>
      </c>
      <c r="C221" s="35">
        <v>20102</v>
      </c>
      <c r="D221" s="128" t="s">
        <v>230</v>
      </c>
      <c r="E221" s="129" t="s">
        <v>231</v>
      </c>
      <c r="F221" s="35" t="s">
        <v>188</v>
      </c>
      <c r="G221" s="130">
        <v>168000</v>
      </c>
      <c r="H221" s="129" t="s">
        <v>19</v>
      </c>
      <c r="I221" s="101" t="s">
        <v>335</v>
      </c>
    </row>
    <row r="222" spans="1:13" x14ac:dyDescent="0.25">
      <c r="A222" s="35">
        <v>169</v>
      </c>
      <c r="B222" s="35">
        <v>51471901</v>
      </c>
      <c r="C222" s="35">
        <v>20102</v>
      </c>
      <c r="D222" s="128" t="s">
        <v>232</v>
      </c>
      <c r="E222" s="129" t="s">
        <v>201</v>
      </c>
      <c r="F222" s="35" t="s">
        <v>233</v>
      </c>
      <c r="G222" s="130">
        <v>13000</v>
      </c>
      <c r="H222" s="129" t="s">
        <v>19</v>
      </c>
      <c r="I222" s="101" t="s">
        <v>335</v>
      </c>
      <c r="K222" s="33"/>
      <c r="M222" s="33"/>
    </row>
    <row r="223" spans="1:13" x14ac:dyDescent="0.25">
      <c r="A223" s="35">
        <v>169</v>
      </c>
      <c r="B223" s="35">
        <v>51472802</v>
      </c>
      <c r="C223" s="35">
        <v>20102</v>
      </c>
      <c r="D223" s="128" t="s">
        <v>234</v>
      </c>
      <c r="E223" s="129" t="s">
        <v>235</v>
      </c>
      <c r="F223" s="35" t="s">
        <v>24</v>
      </c>
      <c r="G223" s="130">
        <v>15000</v>
      </c>
      <c r="H223" s="129" t="s">
        <v>19</v>
      </c>
      <c r="I223" s="101" t="s">
        <v>335</v>
      </c>
      <c r="M223" s="28" t="s">
        <v>370</v>
      </c>
    </row>
    <row r="224" spans="1:13" x14ac:dyDescent="0.25">
      <c r="A224" s="35">
        <v>169</v>
      </c>
      <c r="B224" s="35">
        <v>51162299</v>
      </c>
      <c r="C224" s="35">
        <v>20102</v>
      </c>
      <c r="D224" s="128" t="s">
        <v>236</v>
      </c>
      <c r="E224" s="129" t="s">
        <v>201</v>
      </c>
      <c r="F224" s="35" t="s">
        <v>24</v>
      </c>
      <c r="G224" s="130">
        <v>36000</v>
      </c>
      <c r="H224" s="129" t="s">
        <v>19</v>
      </c>
      <c r="I224" s="101" t="s">
        <v>335</v>
      </c>
      <c r="M224" s="28" t="s">
        <v>366</v>
      </c>
    </row>
    <row r="225" spans="1:13" ht="30" x14ac:dyDescent="0.25">
      <c r="A225" s="110">
        <v>169</v>
      </c>
      <c r="B225" s="110" t="s">
        <v>208</v>
      </c>
      <c r="C225" s="110">
        <v>20102</v>
      </c>
      <c r="D225" s="111" t="s">
        <v>137</v>
      </c>
      <c r="E225" s="112" t="s">
        <v>197</v>
      </c>
      <c r="F225" s="110" t="s">
        <v>188</v>
      </c>
      <c r="G225" s="113">
        <f>100000-20000</f>
        <v>80000</v>
      </c>
      <c r="H225" s="112" t="s">
        <v>19</v>
      </c>
      <c r="I225" s="117" t="s">
        <v>335</v>
      </c>
      <c r="M225" s="28" t="s">
        <v>366</v>
      </c>
    </row>
    <row r="226" spans="1:13" x14ac:dyDescent="0.25">
      <c r="A226" s="110">
        <v>169</v>
      </c>
      <c r="B226" s="110">
        <v>51281618</v>
      </c>
      <c r="C226" s="110">
        <v>20102</v>
      </c>
      <c r="D226" s="111" t="s">
        <v>369</v>
      </c>
      <c r="E226" s="112" t="s">
        <v>195</v>
      </c>
      <c r="F226" s="110" t="s">
        <v>24</v>
      </c>
      <c r="G226" s="113">
        <v>105000</v>
      </c>
      <c r="H226" s="112" t="s">
        <v>19</v>
      </c>
      <c r="I226" s="117" t="s">
        <v>335</v>
      </c>
      <c r="J226" s="31">
        <v>2009091</v>
      </c>
    </row>
    <row r="227" spans="1:13" x14ac:dyDescent="0.25">
      <c r="A227" s="110">
        <v>169</v>
      </c>
      <c r="B227" s="110">
        <v>51349801</v>
      </c>
      <c r="C227" s="110">
        <v>20102</v>
      </c>
      <c r="D227" s="111" t="s">
        <v>371</v>
      </c>
      <c r="E227" s="112" t="s">
        <v>195</v>
      </c>
      <c r="F227" s="110" t="s">
        <v>24</v>
      </c>
      <c r="G227" s="113">
        <v>60000</v>
      </c>
      <c r="H227" s="112" t="s">
        <v>19</v>
      </c>
      <c r="I227" s="117" t="s">
        <v>335</v>
      </c>
    </row>
    <row r="228" spans="1:13" x14ac:dyDescent="0.25">
      <c r="A228" s="106">
        <v>169</v>
      </c>
      <c r="B228" s="106"/>
      <c r="C228" s="121"/>
      <c r="D228" s="107" t="s">
        <v>46</v>
      </c>
      <c r="E228" s="106"/>
      <c r="F228" s="106"/>
      <c r="G228" s="126">
        <f>SUBTOTAL(9,G229:G230)</f>
        <v>1500000</v>
      </c>
      <c r="H228" s="108" t="s">
        <v>19</v>
      </c>
      <c r="I228" s="106"/>
    </row>
    <row r="229" spans="1:13" x14ac:dyDescent="0.25">
      <c r="A229" s="110">
        <v>169</v>
      </c>
      <c r="B229" s="110">
        <v>44103103</v>
      </c>
      <c r="C229" s="119">
        <v>20104</v>
      </c>
      <c r="D229" s="111" t="s">
        <v>47</v>
      </c>
      <c r="E229" s="110">
        <v>139</v>
      </c>
      <c r="F229" s="110" t="s">
        <v>24</v>
      </c>
      <c r="G229" s="118">
        <v>750000</v>
      </c>
      <c r="H229" s="112" t="s">
        <v>19</v>
      </c>
      <c r="I229" s="101" t="s">
        <v>333</v>
      </c>
    </row>
    <row r="230" spans="1:13" x14ac:dyDescent="0.25">
      <c r="A230" s="110">
        <v>169</v>
      </c>
      <c r="B230" s="110">
        <v>12171703</v>
      </c>
      <c r="C230" s="119">
        <v>20104</v>
      </c>
      <c r="D230" s="111" t="s">
        <v>48</v>
      </c>
      <c r="E230" s="110">
        <v>40</v>
      </c>
      <c r="F230" s="110" t="s">
        <v>24</v>
      </c>
      <c r="G230" s="113">
        <v>750000</v>
      </c>
      <c r="H230" s="112" t="s">
        <v>19</v>
      </c>
      <c r="I230" s="101" t="s">
        <v>333</v>
      </c>
      <c r="M230" s="28" t="s">
        <v>397</v>
      </c>
    </row>
    <row r="231" spans="1:13" x14ac:dyDescent="0.25">
      <c r="A231" s="106" t="s">
        <v>182</v>
      </c>
      <c r="B231" s="106"/>
      <c r="C231" s="121"/>
      <c r="D231" s="107" t="s">
        <v>250</v>
      </c>
      <c r="E231" s="106"/>
      <c r="F231" s="106"/>
      <c r="G231" s="126">
        <f>SUBTOTAL(9,G232)</f>
        <v>932143</v>
      </c>
      <c r="H231" s="108" t="s">
        <v>19</v>
      </c>
      <c r="I231" s="106"/>
      <c r="J231" s="31">
        <v>2371222</v>
      </c>
    </row>
    <row r="232" spans="1:13" x14ac:dyDescent="0.25">
      <c r="A232" s="110">
        <v>169</v>
      </c>
      <c r="B232" s="110"/>
      <c r="C232" s="119">
        <v>20203</v>
      </c>
      <c r="D232" s="111" t="s">
        <v>250</v>
      </c>
      <c r="E232" s="110">
        <v>20</v>
      </c>
      <c r="F232" s="110" t="s">
        <v>24</v>
      </c>
      <c r="G232" s="118">
        <f>332143+600000</f>
        <v>932143</v>
      </c>
      <c r="H232" s="112" t="s">
        <v>19</v>
      </c>
      <c r="I232" s="101" t="s">
        <v>333</v>
      </c>
    </row>
    <row r="233" spans="1:13" ht="30" x14ac:dyDescent="0.25">
      <c r="A233" s="106" t="s">
        <v>182</v>
      </c>
      <c r="B233" s="106"/>
      <c r="C233" s="121"/>
      <c r="D233" s="107" t="s">
        <v>49</v>
      </c>
      <c r="E233" s="106"/>
      <c r="F233" s="106"/>
      <c r="G233" s="126">
        <f>SUBTOTAL(9,G234:G248)</f>
        <v>2000000</v>
      </c>
      <c r="H233" s="108" t="s">
        <v>19</v>
      </c>
      <c r="I233" s="106"/>
    </row>
    <row r="234" spans="1:13" ht="30" x14ac:dyDescent="0.25">
      <c r="A234" s="110">
        <v>169</v>
      </c>
      <c r="B234" s="110">
        <v>39111544</v>
      </c>
      <c r="C234" s="119">
        <v>20304</v>
      </c>
      <c r="D234" s="111" t="s">
        <v>50</v>
      </c>
      <c r="E234" s="110">
        <v>20</v>
      </c>
      <c r="F234" s="110" t="s">
        <v>24</v>
      </c>
      <c r="G234" s="118">
        <v>200000</v>
      </c>
      <c r="H234" s="112" t="s">
        <v>19</v>
      </c>
      <c r="I234" s="101" t="s">
        <v>333</v>
      </c>
    </row>
    <row r="235" spans="1:13" ht="30" x14ac:dyDescent="0.25">
      <c r="A235" s="110">
        <v>169</v>
      </c>
      <c r="B235" s="110">
        <v>39101901</v>
      </c>
      <c r="C235" s="119">
        <v>20304</v>
      </c>
      <c r="D235" s="111" t="s">
        <v>209</v>
      </c>
      <c r="E235" s="110">
        <v>80</v>
      </c>
      <c r="F235" s="110" t="s">
        <v>24</v>
      </c>
      <c r="G235" s="118">
        <v>300000</v>
      </c>
      <c r="H235" s="112" t="s">
        <v>19</v>
      </c>
      <c r="I235" s="101" t="s">
        <v>336</v>
      </c>
    </row>
    <row r="236" spans="1:13" x14ac:dyDescent="0.25">
      <c r="A236" s="110">
        <v>169</v>
      </c>
      <c r="B236" s="110">
        <v>39101605</v>
      </c>
      <c r="C236" s="119">
        <v>20304</v>
      </c>
      <c r="D236" s="111" t="s">
        <v>210</v>
      </c>
      <c r="E236" s="110">
        <v>200</v>
      </c>
      <c r="F236" s="110" t="s">
        <v>24</v>
      </c>
      <c r="G236" s="118">
        <v>100000</v>
      </c>
      <c r="H236" s="112" t="s">
        <v>19</v>
      </c>
      <c r="I236" s="101" t="s">
        <v>336</v>
      </c>
    </row>
    <row r="237" spans="1:13" x14ac:dyDescent="0.25">
      <c r="A237" s="110">
        <v>169</v>
      </c>
      <c r="B237" s="110">
        <v>32141106</v>
      </c>
      <c r="C237" s="119">
        <v>20304</v>
      </c>
      <c r="D237" s="111" t="s">
        <v>211</v>
      </c>
      <c r="E237" s="110">
        <v>600</v>
      </c>
      <c r="F237" s="110" t="s">
        <v>24</v>
      </c>
      <c r="G237" s="118">
        <v>100000</v>
      </c>
      <c r="H237" s="112" t="s">
        <v>19</v>
      </c>
      <c r="I237" s="101" t="s">
        <v>336</v>
      </c>
    </row>
    <row r="238" spans="1:13" x14ac:dyDescent="0.25">
      <c r="A238" s="110">
        <v>169</v>
      </c>
      <c r="B238" s="110">
        <v>39101699</v>
      </c>
      <c r="C238" s="119">
        <v>20304</v>
      </c>
      <c r="D238" s="111" t="s">
        <v>212</v>
      </c>
      <c r="E238" s="110">
        <v>100</v>
      </c>
      <c r="F238" s="110" t="s">
        <v>24</v>
      </c>
      <c r="G238" s="118">
        <v>100000</v>
      </c>
      <c r="H238" s="112" t="s">
        <v>19</v>
      </c>
      <c r="I238" s="101" t="s">
        <v>336</v>
      </c>
      <c r="J238" s="34"/>
    </row>
    <row r="239" spans="1:13" x14ac:dyDescent="0.25">
      <c r="A239" s="110">
        <v>169</v>
      </c>
      <c r="B239" s="110">
        <v>39122299</v>
      </c>
      <c r="C239" s="119">
        <v>20304</v>
      </c>
      <c r="D239" s="111" t="s">
        <v>213</v>
      </c>
      <c r="E239" s="110">
        <v>80</v>
      </c>
      <c r="F239" s="110" t="s">
        <v>24</v>
      </c>
      <c r="G239" s="118">
        <v>100000</v>
      </c>
      <c r="H239" s="112" t="s">
        <v>19</v>
      </c>
      <c r="I239" s="101" t="s">
        <v>336</v>
      </c>
    </row>
    <row r="240" spans="1:13" x14ac:dyDescent="0.25">
      <c r="A240" s="110">
        <v>169</v>
      </c>
      <c r="B240" s="110">
        <v>39121439</v>
      </c>
      <c r="C240" s="119">
        <v>20304</v>
      </c>
      <c r="D240" s="111" t="s">
        <v>214</v>
      </c>
      <c r="E240" s="110">
        <v>80</v>
      </c>
      <c r="F240" s="110" t="s">
        <v>24</v>
      </c>
      <c r="G240" s="118">
        <v>100000</v>
      </c>
      <c r="H240" s="112" t="s">
        <v>19</v>
      </c>
      <c r="I240" s="101" t="s">
        <v>336</v>
      </c>
    </row>
    <row r="241" spans="1:13" x14ac:dyDescent="0.25">
      <c r="A241" s="110">
        <v>169</v>
      </c>
      <c r="B241" s="110">
        <v>39121031</v>
      </c>
      <c r="C241" s="119">
        <v>20304</v>
      </c>
      <c r="D241" s="111" t="s">
        <v>51</v>
      </c>
      <c r="E241" s="110">
        <v>4</v>
      </c>
      <c r="F241" s="110" t="s">
        <v>24</v>
      </c>
      <c r="G241" s="118">
        <v>100000</v>
      </c>
      <c r="H241" s="112" t="s">
        <v>19</v>
      </c>
      <c r="I241" s="101" t="s">
        <v>333</v>
      </c>
    </row>
    <row r="242" spans="1:13" x14ac:dyDescent="0.25">
      <c r="A242" s="110">
        <v>169</v>
      </c>
      <c r="B242" s="110">
        <v>39121440</v>
      </c>
      <c r="C242" s="119">
        <v>20304</v>
      </c>
      <c r="D242" s="111" t="s">
        <v>52</v>
      </c>
      <c r="E242" s="110">
        <v>15</v>
      </c>
      <c r="F242" s="110" t="s">
        <v>24</v>
      </c>
      <c r="G242" s="118">
        <v>100000</v>
      </c>
      <c r="H242" s="112" t="s">
        <v>19</v>
      </c>
      <c r="I242" s="101" t="s">
        <v>333</v>
      </c>
    </row>
    <row r="243" spans="1:13" ht="30" x14ac:dyDescent="0.25">
      <c r="A243" s="110">
        <v>169</v>
      </c>
      <c r="B243" s="110">
        <v>39111544</v>
      </c>
      <c r="C243" s="119">
        <v>20304</v>
      </c>
      <c r="D243" s="111" t="s">
        <v>50</v>
      </c>
      <c r="E243" s="110">
        <v>60</v>
      </c>
      <c r="F243" s="110" t="s">
        <v>53</v>
      </c>
      <c r="G243" s="118">
        <v>171222</v>
      </c>
      <c r="H243" s="112" t="s">
        <v>19</v>
      </c>
      <c r="I243" s="101" t="s">
        <v>334</v>
      </c>
    </row>
    <row r="244" spans="1:13" x14ac:dyDescent="0.25">
      <c r="A244" s="110">
        <v>169</v>
      </c>
      <c r="B244" s="110">
        <v>39121031</v>
      </c>
      <c r="C244" s="119">
        <v>20304</v>
      </c>
      <c r="D244" s="111" t="s">
        <v>51</v>
      </c>
      <c r="E244" s="110">
        <v>4</v>
      </c>
      <c r="F244" s="110" t="s">
        <v>24</v>
      </c>
      <c r="G244" s="118">
        <v>128778</v>
      </c>
      <c r="H244" s="112" t="s">
        <v>19</v>
      </c>
      <c r="I244" s="101" t="s">
        <v>335</v>
      </c>
    </row>
    <row r="245" spans="1:13" x14ac:dyDescent="0.25">
      <c r="A245" s="110">
        <v>169</v>
      </c>
      <c r="B245" s="110">
        <v>39121440</v>
      </c>
      <c r="C245" s="119">
        <v>20304</v>
      </c>
      <c r="D245" s="111" t="s">
        <v>52</v>
      </c>
      <c r="E245" s="110">
        <v>15</v>
      </c>
      <c r="F245" s="110" t="s">
        <v>24</v>
      </c>
      <c r="G245" s="118">
        <v>200000</v>
      </c>
      <c r="H245" s="112" t="s">
        <v>19</v>
      </c>
      <c r="I245" s="101" t="s">
        <v>335</v>
      </c>
    </row>
    <row r="246" spans="1:13" x14ac:dyDescent="0.25">
      <c r="A246" s="110">
        <v>169</v>
      </c>
      <c r="B246" s="110">
        <v>39111917</v>
      </c>
      <c r="C246" s="119">
        <v>20304</v>
      </c>
      <c r="D246" s="111" t="s">
        <v>54</v>
      </c>
      <c r="E246" s="110">
        <v>40</v>
      </c>
      <c r="F246" s="110" t="s">
        <v>24</v>
      </c>
      <c r="G246" s="118">
        <v>100000</v>
      </c>
      <c r="H246" s="112" t="s">
        <v>19</v>
      </c>
      <c r="I246" s="101" t="s">
        <v>335</v>
      </c>
    </row>
    <row r="247" spans="1:13" x14ac:dyDescent="0.25">
      <c r="A247" s="110">
        <v>169</v>
      </c>
      <c r="B247" s="110">
        <v>39111917</v>
      </c>
      <c r="C247" s="119">
        <v>20304</v>
      </c>
      <c r="D247" s="111" t="s">
        <v>215</v>
      </c>
      <c r="E247" s="110">
        <v>50</v>
      </c>
      <c r="F247" s="110" t="s">
        <v>55</v>
      </c>
      <c r="G247" s="113">
        <v>100000</v>
      </c>
      <c r="H247" s="112" t="s">
        <v>19</v>
      </c>
      <c r="I247" s="101" t="s">
        <v>335</v>
      </c>
    </row>
    <row r="248" spans="1:13" x14ac:dyDescent="0.25">
      <c r="A248" s="110">
        <v>169</v>
      </c>
      <c r="B248" s="110">
        <v>39111917</v>
      </c>
      <c r="C248" s="119">
        <v>20304</v>
      </c>
      <c r="D248" s="111" t="s">
        <v>54</v>
      </c>
      <c r="E248" s="110">
        <v>20</v>
      </c>
      <c r="F248" s="110" t="s">
        <v>216</v>
      </c>
      <c r="G248" s="113">
        <v>100000</v>
      </c>
      <c r="H248" s="112" t="s">
        <v>19</v>
      </c>
      <c r="I248" s="101" t="s">
        <v>333</v>
      </c>
      <c r="M248" s="28" t="s">
        <v>357</v>
      </c>
    </row>
    <row r="249" spans="1:13" x14ac:dyDescent="0.25">
      <c r="A249" s="106">
        <v>169</v>
      </c>
      <c r="B249" s="106"/>
      <c r="C249" s="121"/>
      <c r="D249" s="107" t="s">
        <v>344</v>
      </c>
      <c r="E249" s="106"/>
      <c r="F249" s="106"/>
      <c r="G249" s="126">
        <f>SUBTOTAL(9,G250:G261)</f>
        <v>1500000</v>
      </c>
      <c r="H249" s="108" t="s">
        <v>19</v>
      </c>
      <c r="I249" s="106"/>
      <c r="M249" s="28" t="s">
        <v>366</v>
      </c>
    </row>
    <row r="250" spans="1:13" x14ac:dyDescent="0.25">
      <c r="A250" s="110"/>
      <c r="B250" s="110">
        <v>25172603</v>
      </c>
      <c r="C250" s="110">
        <v>20401</v>
      </c>
      <c r="D250" s="111" t="s">
        <v>330</v>
      </c>
      <c r="E250" s="110">
        <v>478</v>
      </c>
      <c r="F250" s="110" t="s">
        <v>55</v>
      </c>
      <c r="G250" s="113">
        <f>1500000-782700</f>
        <v>717300</v>
      </c>
      <c r="H250" s="157" t="s">
        <v>19</v>
      </c>
      <c r="I250" s="117" t="s">
        <v>333</v>
      </c>
      <c r="M250" s="28" t="s">
        <v>366</v>
      </c>
    </row>
    <row r="251" spans="1:13" x14ac:dyDescent="0.25">
      <c r="A251" s="110"/>
      <c r="B251" s="110">
        <v>27111901</v>
      </c>
      <c r="C251" s="110">
        <v>20401</v>
      </c>
      <c r="D251" s="111" t="s">
        <v>346</v>
      </c>
      <c r="E251" s="110">
        <v>5</v>
      </c>
      <c r="F251" s="110" t="s">
        <v>55</v>
      </c>
      <c r="G251" s="113">
        <v>13000</v>
      </c>
      <c r="H251" s="112" t="s">
        <v>19</v>
      </c>
      <c r="I251" s="117" t="s">
        <v>335</v>
      </c>
      <c r="M251" s="28" t="s">
        <v>366</v>
      </c>
    </row>
    <row r="252" spans="1:13" x14ac:dyDescent="0.25">
      <c r="A252" s="110"/>
      <c r="B252" s="112" t="s">
        <v>345</v>
      </c>
      <c r="C252" s="110">
        <v>20401</v>
      </c>
      <c r="D252" s="116" t="s">
        <v>347</v>
      </c>
      <c r="E252" s="158">
        <v>6</v>
      </c>
      <c r="F252" s="110" t="s">
        <v>55</v>
      </c>
      <c r="G252" s="113">
        <v>15000</v>
      </c>
      <c r="H252" s="112" t="s">
        <v>19</v>
      </c>
      <c r="I252" s="117" t="s">
        <v>335</v>
      </c>
      <c r="M252" s="28" t="s">
        <v>366</v>
      </c>
    </row>
    <row r="253" spans="1:13" x14ac:dyDescent="0.25">
      <c r="A253" s="110"/>
      <c r="B253" s="159" t="s">
        <v>358</v>
      </c>
      <c r="C253" s="110">
        <v>20401</v>
      </c>
      <c r="D253" s="155" t="s">
        <v>350</v>
      </c>
      <c r="E253" s="160">
        <v>7</v>
      </c>
      <c r="F253" s="110" t="s">
        <v>55</v>
      </c>
      <c r="G253" s="113">
        <v>8000</v>
      </c>
      <c r="H253" s="112" t="s">
        <v>19</v>
      </c>
      <c r="I253" s="117" t="s">
        <v>335</v>
      </c>
      <c r="M253" s="28" t="s">
        <v>366</v>
      </c>
    </row>
    <row r="254" spans="1:13" x14ac:dyDescent="0.25">
      <c r="A254" s="110"/>
      <c r="B254" s="161" t="s">
        <v>358</v>
      </c>
      <c r="C254" s="110">
        <v>20401</v>
      </c>
      <c r="D254" s="162" t="s">
        <v>351</v>
      </c>
      <c r="E254" s="117">
        <v>7</v>
      </c>
      <c r="F254" s="110" t="s">
        <v>55</v>
      </c>
      <c r="G254" s="113">
        <v>8000</v>
      </c>
      <c r="H254" s="112" t="s">
        <v>19</v>
      </c>
      <c r="I254" s="117" t="s">
        <v>335</v>
      </c>
      <c r="M254" s="28" t="s">
        <v>366</v>
      </c>
    </row>
    <row r="255" spans="1:13" x14ac:dyDescent="0.25">
      <c r="A255" s="110"/>
      <c r="B255" s="161" t="s">
        <v>359</v>
      </c>
      <c r="C255" s="110">
        <v>20401</v>
      </c>
      <c r="D255" s="162" t="s">
        <v>348</v>
      </c>
      <c r="E255" s="117">
        <v>6</v>
      </c>
      <c r="F255" s="110" t="s">
        <v>55</v>
      </c>
      <c r="G255" s="113">
        <v>95000</v>
      </c>
      <c r="H255" s="112" t="s">
        <v>19</v>
      </c>
      <c r="I255" s="117" t="s">
        <v>335</v>
      </c>
      <c r="M255" s="28" t="s">
        <v>366</v>
      </c>
    </row>
    <row r="256" spans="1:13" x14ac:dyDescent="0.25">
      <c r="A256" s="110"/>
      <c r="B256" s="163" t="s">
        <v>360</v>
      </c>
      <c r="C256" s="110">
        <v>20401</v>
      </c>
      <c r="D256" s="162" t="s">
        <v>352</v>
      </c>
      <c r="E256" s="117">
        <v>6</v>
      </c>
      <c r="F256" s="110" t="s">
        <v>55</v>
      </c>
      <c r="G256" s="113">
        <v>22000</v>
      </c>
      <c r="H256" s="112" t="s">
        <v>19</v>
      </c>
      <c r="I256" s="117" t="s">
        <v>335</v>
      </c>
      <c r="M256" s="28" t="s">
        <v>366</v>
      </c>
    </row>
    <row r="257" spans="1:14" x14ac:dyDescent="0.25">
      <c r="A257" s="110"/>
      <c r="B257" s="163" t="s">
        <v>361</v>
      </c>
      <c r="C257" s="110">
        <v>20401</v>
      </c>
      <c r="D257" s="164" t="s">
        <v>353</v>
      </c>
      <c r="E257" s="117">
        <v>1</v>
      </c>
      <c r="F257" s="110" t="s">
        <v>55</v>
      </c>
      <c r="G257" s="113">
        <v>290000</v>
      </c>
      <c r="H257" s="112" t="s">
        <v>19</v>
      </c>
      <c r="I257" s="117" t="s">
        <v>335</v>
      </c>
      <c r="M257" s="28" t="s">
        <v>366</v>
      </c>
    </row>
    <row r="258" spans="1:14" x14ac:dyDescent="0.25">
      <c r="A258" s="110"/>
      <c r="B258" s="163" t="s">
        <v>362</v>
      </c>
      <c r="C258" s="110">
        <v>20401</v>
      </c>
      <c r="D258" s="162" t="s">
        <v>354</v>
      </c>
      <c r="E258" s="117">
        <v>2</v>
      </c>
      <c r="F258" s="110" t="s">
        <v>55</v>
      </c>
      <c r="G258" s="113">
        <v>32000</v>
      </c>
      <c r="H258" s="112" t="s">
        <v>19</v>
      </c>
      <c r="I258" s="117" t="s">
        <v>335</v>
      </c>
      <c r="M258" s="28" t="s">
        <v>366</v>
      </c>
    </row>
    <row r="259" spans="1:14" x14ac:dyDescent="0.25">
      <c r="A259" s="110"/>
      <c r="B259" s="163" t="s">
        <v>363</v>
      </c>
      <c r="C259" s="110">
        <v>20401</v>
      </c>
      <c r="D259" s="162" t="s">
        <v>355</v>
      </c>
      <c r="E259" s="160">
        <v>2</v>
      </c>
      <c r="F259" s="110" t="s">
        <v>55</v>
      </c>
      <c r="G259" s="113">
        <v>6700</v>
      </c>
      <c r="H259" s="112" t="s">
        <v>19</v>
      </c>
      <c r="I259" s="117" t="s">
        <v>335</v>
      </c>
      <c r="M259" s="28" t="s">
        <v>366</v>
      </c>
    </row>
    <row r="260" spans="1:14" x14ac:dyDescent="0.25">
      <c r="A260" s="110"/>
      <c r="B260" s="112" t="s">
        <v>364</v>
      </c>
      <c r="C260" s="110">
        <v>20401</v>
      </c>
      <c r="D260" s="162" t="s">
        <v>356</v>
      </c>
      <c r="E260" s="117">
        <v>2</v>
      </c>
      <c r="F260" s="110" t="s">
        <v>55</v>
      </c>
      <c r="G260" s="113">
        <v>290000</v>
      </c>
      <c r="H260" s="112" t="s">
        <v>19</v>
      </c>
      <c r="I260" s="117" t="s">
        <v>335</v>
      </c>
      <c r="J260" s="31">
        <v>1500000</v>
      </c>
    </row>
    <row r="261" spans="1:14" ht="30" x14ac:dyDescent="0.25">
      <c r="A261" s="110"/>
      <c r="B261" s="112" t="s">
        <v>365</v>
      </c>
      <c r="C261" s="110">
        <v>20401</v>
      </c>
      <c r="D261" s="155" t="s">
        <v>349</v>
      </c>
      <c r="E261" s="117">
        <v>1</v>
      </c>
      <c r="F261" s="110" t="s">
        <v>55</v>
      </c>
      <c r="G261" s="113">
        <v>3000</v>
      </c>
      <c r="H261" s="112" t="s">
        <v>19</v>
      </c>
      <c r="I261" s="117" t="s">
        <v>335</v>
      </c>
      <c r="K261" s="28" t="s">
        <v>242</v>
      </c>
    </row>
    <row r="262" spans="1:14" x14ac:dyDescent="0.25">
      <c r="A262" s="106">
        <v>169</v>
      </c>
      <c r="B262" s="106"/>
      <c r="C262" s="121"/>
      <c r="D262" s="107" t="s">
        <v>56</v>
      </c>
      <c r="E262" s="106"/>
      <c r="F262" s="106"/>
      <c r="G262" s="126">
        <f>SUBTOTAL(9,G263:G265)</f>
        <v>1039200</v>
      </c>
      <c r="H262" s="108" t="s">
        <v>19</v>
      </c>
      <c r="I262" s="106"/>
    </row>
    <row r="263" spans="1:14" ht="14.45" customHeight="1" x14ac:dyDescent="0.25">
      <c r="A263" s="110">
        <v>169</v>
      </c>
      <c r="B263" s="110">
        <v>25172504</v>
      </c>
      <c r="C263" s="119">
        <v>20402</v>
      </c>
      <c r="D263" s="111" t="s">
        <v>57</v>
      </c>
      <c r="E263" s="110">
        <v>176</v>
      </c>
      <c r="F263" s="110" t="s">
        <v>24</v>
      </c>
      <c r="G263" s="113">
        <f>700000-400000</f>
        <v>300000</v>
      </c>
      <c r="H263" s="112" t="s">
        <v>19</v>
      </c>
      <c r="I263" s="101" t="s">
        <v>335</v>
      </c>
      <c r="J263" s="31">
        <v>390000</v>
      </c>
      <c r="N263" s="28" t="s">
        <v>422</v>
      </c>
    </row>
    <row r="264" spans="1:14" ht="14.45" customHeight="1" x14ac:dyDescent="0.25">
      <c r="A264" s="35">
        <v>169</v>
      </c>
      <c r="B264" s="35" t="s">
        <v>244</v>
      </c>
      <c r="C264" s="37">
        <v>20402</v>
      </c>
      <c r="D264" s="128" t="s">
        <v>245</v>
      </c>
      <c r="E264" s="35">
        <v>2</v>
      </c>
      <c r="F264" s="35" t="s">
        <v>24</v>
      </c>
      <c r="G264" s="130">
        <f>339200-139200</f>
        <v>200000</v>
      </c>
      <c r="H264" s="129" t="s">
        <v>19</v>
      </c>
      <c r="I264" s="101" t="s">
        <v>334</v>
      </c>
      <c r="M264" s="28" t="s">
        <v>391</v>
      </c>
      <c r="N264" s="28" t="s">
        <v>423</v>
      </c>
    </row>
    <row r="265" spans="1:14" ht="14.45" customHeight="1" x14ac:dyDescent="0.25">
      <c r="A265" s="35">
        <v>169</v>
      </c>
      <c r="B265" s="35">
        <v>31152102</v>
      </c>
      <c r="C265" s="37">
        <v>20402</v>
      </c>
      <c r="D265" s="128" t="s">
        <v>421</v>
      </c>
      <c r="E265" s="35">
        <v>8</v>
      </c>
      <c r="F265" s="35" t="s">
        <v>24</v>
      </c>
      <c r="G265" s="130">
        <v>539200</v>
      </c>
      <c r="H265" s="129" t="s">
        <v>19</v>
      </c>
      <c r="I265" s="101" t="s">
        <v>336</v>
      </c>
      <c r="N265" s="28" t="s">
        <v>366</v>
      </c>
    </row>
    <row r="266" spans="1:14" ht="30" x14ac:dyDescent="0.25">
      <c r="A266" s="106">
        <v>169</v>
      </c>
      <c r="B266" s="106"/>
      <c r="C266" s="121"/>
      <c r="D266" s="107" t="s">
        <v>58</v>
      </c>
      <c r="E266" s="106"/>
      <c r="F266" s="106"/>
      <c r="G266" s="126">
        <f>+SUBTOTAL(9,G267:G301)</f>
        <v>1924888</v>
      </c>
      <c r="H266" s="108" t="s">
        <v>19</v>
      </c>
      <c r="I266" s="106"/>
      <c r="K266" s="28" t="s">
        <v>243</v>
      </c>
      <c r="M266" s="28" t="s">
        <v>391</v>
      </c>
    </row>
    <row r="267" spans="1:14" x14ac:dyDescent="0.25">
      <c r="A267" s="110">
        <v>169</v>
      </c>
      <c r="B267" s="110">
        <v>43201824</v>
      </c>
      <c r="C267" s="110">
        <v>29901</v>
      </c>
      <c r="D267" s="111" t="s">
        <v>217</v>
      </c>
      <c r="E267" s="110">
        <v>30</v>
      </c>
      <c r="F267" s="110" t="s">
        <v>24</v>
      </c>
      <c r="G267" s="131">
        <f>35000+200000</f>
        <v>235000</v>
      </c>
      <c r="H267" s="112" t="s">
        <v>19</v>
      </c>
      <c r="I267" s="101" t="s">
        <v>335</v>
      </c>
    </row>
    <row r="268" spans="1:14" ht="30" x14ac:dyDescent="0.25">
      <c r="A268" s="110">
        <v>169</v>
      </c>
      <c r="B268" s="110">
        <v>32101617</v>
      </c>
      <c r="C268" s="110">
        <v>29901</v>
      </c>
      <c r="D268" s="111" t="s">
        <v>218</v>
      </c>
      <c r="E268" s="110">
        <v>5</v>
      </c>
      <c r="F268" s="110" t="s">
        <v>219</v>
      </c>
      <c r="G268" s="131">
        <f>539888+200000</f>
        <v>739888</v>
      </c>
      <c r="H268" s="112" t="s">
        <v>19</v>
      </c>
      <c r="I268" s="101" t="s">
        <v>334</v>
      </c>
    </row>
    <row r="269" spans="1:14" x14ac:dyDescent="0.25">
      <c r="A269" s="110">
        <v>169</v>
      </c>
      <c r="B269" s="110">
        <v>44101716</v>
      </c>
      <c r="C269" s="110">
        <v>29901</v>
      </c>
      <c r="D269" s="111" t="s">
        <v>65</v>
      </c>
      <c r="E269" s="110">
        <f>115-4-72</f>
        <v>39</v>
      </c>
      <c r="F269" s="110" t="s">
        <v>24</v>
      </c>
      <c r="G269" s="131">
        <v>15000</v>
      </c>
      <c r="H269" s="112" t="s">
        <v>19</v>
      </c>
      <c r="I269" s="101" t="s">
        <v>335</v>
      </c>
    </row>
    <row r="270" spans="1:14" ht="30" x14ac:dyDescent="0.25">
      <c r="A270" s="110">
        <v>169</v>
      </c>
      <c r="B270" s="110">
        <v>44121902</v>
      </c>
      <c r="C270" s="110">
        <v>29901</v>
      </c>
      <c r="D270" s="111" t="s">
        <v>70</v>
      </c>
      <c r="E270" s="110">
        <f>94-42</f>
        <v>52</v>
      </c>
      <c r="F270" s="110" t="s">
        <v>53</v>
      </c>
      <c r="G270" s="113">
        <v>9000</v>
      </c>
      <c r="H270" s="112" t="s">
        <v>19</v>
      </c>
      <c r="I270" s="101" t="s">
        <v>335</v>
      </c>
    </row>
    <row r="271" spans="1:14" ht="30" x14ac:dyDescent="0.25">
      <c r="A271" s="110">
        <v>169</v>
      </c>
      <c r="B271" s="110">
        <v>44121902</v>
      </c>
      <c r="C271" s="110">
        <v>29901</v>
      </c>
      <c r="D271" s="111" t="s">
        <v>70</v>
      </c>
      <c r="E271" s="110">
        <f>100-100</f>
        <v>0</v>
      </c>
      <c r="F271" s="110" t="s">
        <v>53</v>
      </c>
      <c r="G271" s="113">
        <v>5000</v>
      </c>
      <c r="H271" s="112" t="s">
        <v>19</v>
      </c>
      <c r="I271" s="101" t="s">
        <v>334</v>
      </c>
      <c r="M271" s="28" t="s">
        <v>398</v>
      </c>
    </row>
    <row r="272" spans="1:14" x14ac:dyDescent="0.25">
      <c r="A272" s="110">
        <v>169</v>
      </c>
      <c r="B272" s="110">
        <v>60121518</v>
      </c>
      <c r="C272" s="110">
        <v>29901</v>
      </c>
      <c r="D272" s="111" t="s">
        <v>80</v>
      </c>
      <c r="E272" s="110">
        <f>30-20</f>
        <v>10</v>
      </c>
      <c r="F272" s="110" t="s">
        <v>53</v>
      </c>
      <c r="G272" s="113">
        <v>5000</v>
      </c>
      <c r="H272" s="112" t="s">
        <v>19</v>
      </c>
      <c r="I272" s="101" t="s">
        <v>334</v>
      </c>
    </row>
    <row r="273" spans="1:13" ht="45" x14ac:dyDescent="0.25">
      <c r="A273" s="110">
        <v>169</v>
      </c>
      <c r="B273" s="119">
        <v>44121704</v>
      </c>
      <c r="C273" s="110">
        <v>29901</v>
      </c>
      <c r="D273" s="116" t="s">
        <v>59</v>
      </c>
      <c r="E273" s="132">
        <v>12</v>
      </c>
      <c r="F273" s="132" t="s">
        <v>60</v>
      </c>
      <c r="G273" s="113">
        <f>10000+200000</f>
        <v>210000</v>
      </c>
      <c r="H273" s="133" t="s">
        <v>19</v>
      </c>
      <c r="I273" s="101" t="s">
        <v>335</v>
      </c>
    </row>
    <row r="274" spans="1:13" ht="30" x14ac:dyDescent="0.25">
      <c r="A274" s="110">
        <v>169</v>
      </c>
      <c r="B274" s="110">
        <v>44122118</v>
      </c>
      <c r="C274" s="110">
        <v>29901</v>
      </c>
      <c r="D274" s="111" t="s">
        <v>61</v>
      </c>
      <c r="E274" s="110">
        <f>85-68</f>
        <v>17</v>
      </c>
      <c r="F274" s="110" t="s">
        <v>53</v>
      </c>
      <c r="G274" s="113">
        <v>5000</v>
      </c>
      <c r="H274" s="112" t="s">
        <v>19</v>
      </c>
      <c r="I274" s="101" t="s">
        <v>335</v>
      </c>
      <c r="M274" s="28" t="s">
        <v>391</v>
      </c>
    </row>
    <row r="275" spans="1:13" x14ac:dyDescent="0.25">
      <c r="A275" s="110">
        <v>169</v>
      </c>
      <c r="B275" s="110">
        <v>44121613</v>
      </c>
      <c r="C275" s="110">
        <v>29901</v>
      </c>
      <c r="D275" s="111" t="s">
        <v>62</v>
      </c>
      <c r="E275" s="110">
        <f>75-21</f>
        <v>54</v>
      </c>
      <c r="F275" s="110" t="s">
        <v>24</v>
      </c>
      <c r="G275" s="113">
        <v>5000</v>
      </c>
      <c r="H275" s="112" t="s">
        <v>19</v>
      </c>
      <c r="I275" s="101" t="s">
        <v>335</v>
      </c>
    </row>
    <row r="276" spans="1:13" x14ac:dyDescent="0.25">
      <c r="A276" s="110">
        <v>169</v>
      </c>
      <c r="B276" s="110">
        <v>44122107</v>
      </c>
      <c r="C276" s="110">
        <v>29901</v>
      </c>
      <c r="D276" s="111" t="s">
        <v>63</v>
      </c>
      <c r="E276" s="110">
        <f>40-10</f>
        <v>30</v>
      </c>
      <c r="F276" s="110" t="s">
        <v>53</v>
      </c>
      <c r="G276" s="113">
        <f>5000+200000</f>
        <v>205000</v>
      </c>
      <c r="H276" s="112" t="s">
        <v>19</v>
      </c>
      <c r="I276" s="101" t="s">
        <v>335</v>
      </c>
    </row>
    <row r="277" spans="1:13" x14ac:dyDescent="0.25">
      <c r="A277" s="110">
        <v>169</v>
      </c>
      <c r="B277" s="110">
        <v>31201503</v>
      </c>
      <c r="C277" s="110">
        <v>29901</v>
      </c>
      <c r="D277" s="111" t="s">
        <v>64</v>
      </c>
      <c r="E277" s="110">
        <v>105</v>
      </c>
      <c r="F277" s="110" t="s">
        <v>24</v>
      </c>
      <c r="G277" s="113">
        <v>5000</v>
      </c>
      <c r="H277" s="112" t="s">
        <v>19</v>
      </c>
      <c r="I277" s="101" t="s">
        <v>335</v>
      </c>
    </row>
    <row r="278" spans="1:13" x14ac:dyDescent="0.25">
      <c r="A278" s="110">
        <v>169</v>
      </c>
      <c r="B278" s="110">
        <v>44121708</v>
      </c>
      <c r="C278" s="110">
        <v>29901</v>
      </c>
      <c r="D278" s="111" t="s">
        <v>66</v>
      </c>
      <c r="E278" s="110">
        <v>5</v>
      </c>
      <c r="F278" s="110" t="s">
        <v>24</v>
      </c>
      <c r="G278" s="113">
        <v>10000</v>
      </c>
      <c r="H278" s="112" t="s">
        <v>19</v>
      </c>
      <c r="I278" s="101" t="s">
        <v>335</v>
      </c>
    </row>
    <row r="279" spans="1:13" x14ac:dyDescent="0.25">
      <c r="A279" s="110">
        <v>169</v>
      </c>
      <c r="B279" s="110">
        <v>31201610</v>
      </c>
      <c r="C279" s="110">
        <v>29901</v>
      </c>
      <c r="D279" s="111" t="s">
        <v>67</v>
      </c>
      <c r="E279" s="110">
        <v>10</v>
      </c>
      <c r="F279" s="110" t="s">
        <v>24</v>
      </c>
      <c r="G279" s="113">
        <v>7000</v>
      </c>
      <c r="H279" s="112" t="s">
        <v>19</v>
      </c>
      <c r="I279" s="101" t="s">
        <v>335</v>
      </c>
    </row>
    <row r="280" spans="1:13" x14ac:dyDescent="0.25">
      <c r="A280" s="110">
        <v>169</v>
      </c>
      <c r="B280" s="110">
        <v>44121804</v>
      </c>
      <c r="C280" s="110">
        <v>29901</v>
      </c>
      <c r="D280" s="111" t="s">
        <v>68</v>
      </c>
      <c r="E280" s="110">
        <v>50</v>
      </c>
      <c r="F280" s="110" t="s">
        <v>53</v>
      </c>
      <c r="G280" s="113">
        <v>7000</v>
      </c>
      <c r="H280" s="112" t="s">
        <v>19</v>
      </c>
      <c r="I280" s="101" t="s">
        <v>335</v>
      </c>
    </row>
    <row r="281" spans="1:13" x14ac:dyDescent="0.25">
      <c r="A281" s="110">
        <v>169</v>
      </c>
      <c r="B281" s="110">
        <v>44121705</v>
      </c>
      <c r="C281" s="110">
        <v>29901</v>
      </c>
      <c r="D281" s="111" t="s">
        <v>69</v>
      </c>
      <c r="E281" s="110">
        <v>20</v>
      </c>
      <c r="F281" s="110" t="s">
        <v>24</v>
      </c>
      <c r="G281" s="113">
        <v>7000</v>
      </c>
      <c r="H281" s="112" t="s">
        <v>19</v>
      </c>
      <c r="I281" s="101" t="s">
        <v>335</v>
      </c>
    </row>
    <row r="282" spans="1:13" x14ac:dyDescent="0.25">
      <c r="A282" s="110">
        <v>169</v>
      </c>
      <c r="B282" s="110">
        <v>55121614</v>
      </c>
      <c r="C282" s="110">
        <v>29901</v>
      </c>
      <c r="D282" s="111" t="s">
        <v>71</v>
      </c>
      <c r="E282" s="110">
        <f>125-125</f>
        <v>0</v>
      </c>
      <c r="F282" s="110" t="s">
        <v>24</v>
      </c>
      <c r="G282" s="113">
        <v>7000</v>
      </c>
      <c r="H282" s="112" t="s">
        <v>19</v>
      </c>
      <c r="I282" s="101" t="s">
        <v>335</v>
      </c>
    </row>
    <row r="283" spans="1:13" x14ac:dyDescent="0.25">
      <c r="A283" s="110">
        <v>169</v>
      </c>
      <c r="B283" s="110">
        <v>55121616</v>
      </c>
      <c r="C283" s="110">
        <v>29901</v>
      </c>
      <c r="D283" s="111" t="s">
        <v>72</v>
      </c>
      <c r="E283" s="110">
        <f>130-24</f>
        <v>106</v>
      </c>
      <c r="F283" s="110" t="s">
        <v>73</v>
      </c>
      <c r="G283" s="113">
        <f>37000-7000</f>
        <v>30000</v>
      </c>
      <c r="H283" s="112" t="s">
        <v>19</v>
      </c>
      <c r="I283" s="101" t="s">
        <v>335</v>
      </c>
    </row>
    <row r="284" spans="1:13" x14ac:dyDescent="0.25">
      <c r="A284" s="110">
        <v>169</v>
      </c>
      <c r="B284" s="110">
        <v>44121802</v>
      </c>
      <c r="C284" s="110">
        <v>29901</v>
      </c>
      <c r="D284" s="111" t="s">
        <v>74</v>
      </c>
      <c r="E284" s="110">
        <v>25</v>
      </c>
      <c r="F284" s="110" t="s">
        <v>24</v>
      </c>
      <c r="G284" s="113">
        <v>20000</v>
      </c>
      <c r="H284" s="112" t="s">
        <v>19</v>
      </c>
      <c r="I284" s="101" t="s">
        <v>335</v>
      </c>
    </row>
    <row r="285" spans="1:13" x14ac:dyDescent="0.25">
      <c r="A285" s="110">
        <v>169</v>
      </c>
      <c r="B285" s="110">
        <v>31201505</v>
      </c>
      <c r="C285" s="110">
        <v>29901</v>
      </c>
      <c r="D285" s="111" t="s">
        <v>75</v>
      </c>
      <c r="E285" s="110">
        <v>15</v>
      </c>
      <c r="F285" s="110" t="s">
        <v>24</v>
      </c>
      <c r="G285" s="113">
        <v>20000</v>
      </c>
      <c r="H285" s="112" t="s">
        <v>19</v>
      </c>
      <c r="I285" s="101" t="s">
        <v>334</v>
      </c>
    </row>
    <row r="286" spans="1:13" x14ac:dyDescent="0.25">
      <c r="A286" s="110">
        <v>169</v>
      </c>
      <c r="B286" s="110">
        <v>44121613</v>
      </c>
      <c r="C286" s="110">
        <v>29901</v>
      </c>
      <c r="D286" s="111" t="s">
        <v>62</v>
      </c>
      <c r="E286" s="110">
        <v>50</v>
      </c>
      <c r="F286" s="110" t="s">
        <v>76</v>
      </c>
      <c r="G286" s="113">
        <v>25000</v>
      </c>
      <c r="H286" s="112" t="s">
        <v>19</v>
      </c>
      <c r="I286" s="101" t="s">
        <v>334</v>
      </c>
    </row>
    <row r="287" spans="1:13" ht="45" x14ac:dyDescent="0.25">
      <c r="A287" s="110">
        <v>169</v>
      </c>
      <c r="B287" s="119">
        <v>44121704</v>
      </c>
      <c r="C287" s="110">
        <v>29901</v>
      </c>
      <c r="D287" s="111" t="s">
        <v>59</v>
      </c>
      <c r="E287" s="110">
        <v>20</v>
      </c>
      <c r="F287" s="110" t="s">
        <v>53</v>
      </c>
      <c r="G287" s="113">
        <v>30000</v>
      </c>
      <c r="H287" s="112" t="s">
        <v>19</v>
      </c>
      <c r="I287" s="101" t="s">
        <v>334</v>
      </c>
    </row>
    <row r="288" spans="1:13" x14ac:dyDescent="0.25">
      <c r="A288" s="110">
        <v>169</v>
      </c>
      <c r="B288" s="110">
        <v>44121708</v>
      </c>
      <c r="C288" s="110">
        <v>29901</v>
      </c>
      <c r="D288" s="111" t="s">
        <v>66</v>
      </c>
      <c r="E288" s="110">
        <f>5-4</f>
        <v>1</v>
      </c>
      <c r="F288" s="110" t="s">
        <v>53</v>
      </c>
      <c r="G288" s="113">
        <v>7000</v>
      </c>
      <c r="H288" s="112" t="s">
        <v>19</v>
      </c>
      <c r="I288" s="101" t="s">
        <v>334</v>
      </c>
    </row>
    <row r="289" spans="1:13" ht="30" x14ac:dyDescent="0.25">
      <c r="A289" s="110">
        <v>169</v>
      </c>
      <c r="B289" s="119">
        <v>44122104</v>
      </c>
      <c r="C289" s="110">
        <v>29901</v>
      </c>
      <c r="D289" s="111" t="s">
        <v>77</v>
      </c>
      <c r="E289" s="110">
        <f>600-278</f>
        <v>322</v>
      </c>
      <c r="F289" s="110" t="s">
        <v>76</v>
      </c>
      <c r="G289" s="113">
        <f>28000-13000</f>
        <v>15000</v>
      </c>
      <c r="H289" s="112" t="s">
        <v>19</v>
      </c>
      <c r="I289" s="101" t="s">
        <v>334</v>
      </c>
    </row>
    <row r="290" spans="1:13" x14ac:dyDescent="0.25">
      <c r="A290" s="110">
        <v>169</v>
      </c>
      <c r="B290" s="110">
        <v>44122106</v>
      </c>
      <c r="C290" s="110">
        <v>29901</v>
      </c>
      <c r="D290" s="111" t="s">
        <v>78</v>
      </c>
      <c r="E290" s="110">
        <f>15-5</f>
        <v>10</v>
      </c>
      <c r="F290" s="110" t="s">
        <v>79</v>
      </c>
      <c r="G290" s="113">
        <f>15000-10000</f>
        <v>5000</v>
      </c>
      <c r="H290" s="112" t="s">
        <v>19</v>
      </c>
      <c r="I290" s="101" t="s">
        <v>334</v>
      </c>
    </row>
    <row r="291" spans="1:13" x14ac:dyDescent="0.25">
      <c r="A291" s="110">
        <v>169</v>
      </c>
      <c r="B291" s="110">
        <v>44122107</v>
      </c>
      <c r="C291" s="110">
        <v>29901</v>
      </c>
      <c r="D291" s="111" t="s">
        <v>63</v>
      </c>
      <c r="E291" s="110">
        <v>2</v>
      </c>
      <c r="F291" s="110" t="s">
        <v>53</v>
      </c>
      <c r="G291" s="113">
        <f>25000-24000</f>
        <v>1000</v>
      </c>
      <c r="H291" s="112" t="s">
        <v>19</v>
      </c>
      <c r="I291" s="101" t="s">
        <v>334</v>
      </c>
    </row>
    <row r="292" spans="1:13" x14ac:dyDescent="0.25">
      <c r="A292" s="110">
        <v>169</v>
      </c>
      <c r="B292" s="110">
        <v>55121614</v>
      </c>
      <c r="C292" s="110">
        <v>29901</v>
      </c>
      <c r="D292" s="111" t="s">
        <v>71</v>
      </c>
      <c r="E292" s="110">
        <f>200-200</f>
        <v>0</v>
      </c>
      <c r="F292" s="110" t="s">
        <v>24</v>
      </c>
      <c r="G292" s="113">
        <v>2000</v>
      </c>
      <c r="H292" s="112" t="s">
        <v>19</v>
      </c>
      <c r="I292" s="101" t="s">
        <v>334</v>
      </c>
    </row>
    <row r="293" spans="1:13" x14ac:dyDescent="0.25">
      <c r="A293" s="110">
        <v>169</v>
      </c>
      <c r="B293" s="110">
        <v>44122104</v>
      </c>
      <c r="C293" s="110">
        <v>29901</v>
      </c>
      <c r="D293" s="111" t="s">
        <v>81</v>
      </c>
      <c r="E293" s="110">
        <f>50-29</f>
        <v>21</v>
      </c>
      <c r="F293" s="110" t="s">
        <v>53</v>
      </c>
      <c r="G293" s="113">
        <f>12000-7000</f>
        <v>5000</v>
      </c>
      <c r="H293" s="112" t="s">
        <v>19</v>
      </c>
      <c r="I293" s="101" t="s">
        <v>335</v>
      </c>
    </row>
    <row r="294" spans="1:13" x14ac:dyDescent="0.25">
      <c r="A294" s="110">
        <v>169</v>
      </c>
      <c r="B294" s="110">
        <v>44121705</v>
      </c>
      <c r="C294" s="110">
        <v>29901</v>
      </c>
      <c r="D294" s="111" t="s">
        <v>69</v>
      </c>
      <c r="E294" s="110">
        <f>30-24</f>
        <v>6</v>
      </c>
      <c r="F294" s="110" t="s">
        <v>24</v>
      </c>
      <c r="G294" s="131">
        <f>10000-8000</f>
        <v>2000</v>
      </c>
      <c r="H294" s="112" t="s">
        <v>19</v>
      </c>
      <c r="I294" s="101" t="s">
        <v>335</v>
      </c>
    </row>
    <row r="295" spans="1:13" x14ac:dyDescent="0.25">
      <c r="A295" s="110">
        <v>169</v>
      </c>
      <c r="B295" s="110">
        <v>44121619</v>
      </c>
      <c r="C295" s="110">
        <v>29901</v>
      </c>
      <c r="D295" s="111" t="s">
        <v>220</v>
      </c>
      <c r="E295" s="110">
        <v>7</v>
      </c>
      <c r="F295" s="110" t="s">
        <v>24</v>
      </c>
      <c r="G295" s="131">
        <v>11800</v>
      </c>
      <c r="H295" s="112" t="s">
        <v>19</v>
      </c>
      <c r="I295" s="101" t="s">
        <v>335</v>
      </c>
      <c r="M295" s="28" t="s">
        <v>391</v>
      </c>
    </row>
    <row r="296" spans="1:13" x14ac:dyDescent="0.25">
      <c r="A296" s="110">
        <v>169</v>
      </c>
      <c r="B296" s="110">
        <v>31201610</v>
      </c>
      <c r="C296" s="110">
        <v>29901</v>
      </c>
      <c r="D296" s="111" t="s">
        <v>221</v>
      </c>
      <c r="E296" s="110">
        <v>14</v>
      </c>
      <c r="F296" s="110" t="s">
        <v>24</v>
      </c>
      <c r="G296" s="131">
        <v>2450</v>
      </c>
      <c r="H296" s="112" t="s">
        <v>19</v>
      </c>
      <c r="I296" s="101" t="s">
        <v>335</v>
      </c>
    </row>
    <row r="297" spans="1:13" ht="30" x14ac:dyDescent="0.25">
      <c r="A297" s="110">
        <v>169</v>
      </c>
      <c r="B297" s="110">
        <v>44122118</v>
      </c>
      <c r="C297" s="110">
        <v>29901</v>
      </c>
      <c r="D297" s="111" t="s">
        <v>222</v>
      </c>
      <c r="E297" s="110">
        <v>25</v>
      </c>
      <c r="F297" s="110" t="s">
        <v>60</v>
      </c>
      <c r="G297" s="131">
        <f>15000+200000</f>
        <v>215000</v>
      </c>
      <c r="H297" s="112" t="s">
        <v>19</v>
      </c>
      <c r="I297" s="101" t="s">
        <v>335</v>
      </c>
    </row>
    <row r="298" spans="1:13" x14ac:dyDescent="0.25">
      <c r="A298" s="110">
        <v>169</v>
      </c>
      <c r="B298" s="110">
        <v>44121618</v>
      </c>
      <c r="C298" s="110">
        <v>29901</v>
      </c>
      <c r="D298" s="111" t="s">
        <v>105</v>
      </c>
      <c r="E298" s="110">
        <v>28</v>
      </c>
      <c r="F298" s="110" t="s">
        <v>24</v>
      </c>
      <c r="G298" s="131">
        <v>15000</v>
      </c>
      <c r="H298" s="112" t="s">
        <v>19</v>
      </c>
      <c r="I298" s="101" t="s">
        <v>335</v>
      </c>
    </row>
    <row r="299" spans="1:13" x14ac:dyDescent="0.25">
      <c r="A299" s="110">
        <v>169</v>
      </c>
      <c r="B299" s="110">
        <v>44121701</v>
      </c>
      <c r="C299" s="110">
        <v>29901</v>
      </c>
      <c r="D299" s="111" t="s">
        <v>223</v>
      </c>
      <c r="E299" s="110">
        <v>4</v>
      </c>
      <c r="F299" s="110" t="s">
        <v>53</v>
      </c>
      <c r="G299" s="131">
        <v>4250</v>
      </c>
      <c r="H299" s="112" t="s">
        <v>19</v>
      </c>
      <c r="I299" s="101" t="s">
        <v>335</v>
      </c>
    </row>
    <row r="300" spans="1:13" x14ac:dyDescent="0.25">
      <c r="A300" s="110">
        <v>169</v>
      </c>
      <c r="B300" s="110">
        <v>44121701</v>
      </c>
      <c r="C300" s="110">
        <v>29901</v>
      </c>
      <c r="D300" s="111" t="s">
        <v>224</v>
      </c>
      <c r="E300" s="110">
        <v>1</v>
      </c>
      <c r="F300" s="110" t="s">
        <v>53</v>
      </c>
      <c r="G300" s="131">
        <v>1500</v>
      </c>
      <c r="H300" s="112" t="s">
        <v>19</v>
      </c>
      <c r="I300" s="101" t="s">
        <v>335</v>
      </c>
      <c r="J300" s="31">
        <v>1933167</v>
      </c>
    </row>
    <row r="301" spans="1:13" ht="45" x14ac:dyDescent="0.25">
      <c r="A301" s="110">
        <v>169</v>
      </c>
      <c r="B301" s="110">
        <v>44102402</v>
      </c>
      <c r="C301" s="110">
        <v>29901</v>
      </c>
      <c r="D301" s="111" t="s">
        <v>343</v>
      </c>
      <c r="E301" s="110">
        <v>3</v>
      </c>
      <c r="F301" s="110" t="s">
        <v>24</v>
      </c>
      <c r="G301" s="131">
        <v>36000</v>
      </c>
      <c r="H301" s="112" t="s">
        <v>19</v>
      </c>
      <c r="I301" s="101" t="s">
        <v>335</v>
      </c>
    </row>
    <row r="302" spans="1:13" ht="30" x14ac:dyDescent="0.25">
      <c r="A302" s="106">
        <v>169</v>
      </c>
      <c r="B302" s="106"/>
      <c r="C302" s="121"/>
      <c r="D302" s="107" t="s">
        <v>116</v>
      </c>
      <c r="E302" s="106"/>
      <c r="F302" s="106"/>
      <c r="G302" s="134">
        <f>+SUBTOTAL(9,G303:G307)</f>
        <v>2008948</v>
      </c>
      <c r="H302" s="108" t="s">
        <v>19</v>
      </c>
      <c r="I302" s="106"/>
    </row>
    <row r="303" spans="1:13" x14ac:dyDescent="0.25">
      <c r="A303" s="110">
        <v>169</v>
      </c>
      <c r="B303" s="110">
        <v>46182001</v>
      </c>
      <c r="C303" s="110">
        <v>29902</v>
      </c>
      <c r="D303" s="135" t="s">
        <v>138</v>
      </c>
      <c r="E303" s="110">
        <v>200</v>
      </c>
      <c r="F303" s="110" t="s">
        <v>24</v>
      </c>
      <c r="G303" s="131">
        <v>500000</v>
      </c>
      <c r="H303" s="136">
        <v>1</v>
      </c>
      <c r="I303" s="101" t="s">
        <v>335</v>
      </c>
    </row>
    <row r="304" spans="1:13" x14ac:dyDescent="0.25">
      <c r="A304" s="110">
        <v>169</v>
      </c>
      <c r="B304" s="110">
        <v>46181702</v>
      </c>
      <c r="C304" s="110">
        <v>29902</v>
      </c>
      <c r="D304" s="135" t="s">
        <v>139</v>
      </c>
      <c r="E304" s="110">
        <v>100</v>
      </c>
      <c r="F304" s="110" t="s">
        <v>24</v>
      </c>
      <c r="G304" s="131">
        <v>500000</v>
      </c>
      <c r="H304" s="136">
        <v>1</v>
      </c>
      <c r="I304" s="101" t="s">
        <v>335</v>
      </c>
    </row>
    <row r="305" spans="1:12" x14ac:dyDescent="0.25">
      <c r="A305" s="110">
        <v>169</v>
      </c>
      <c r="B305" s="110">
        <v>46181541</v>
      </c>
      <c r="C305" s="110">
        <v>29902</v>
      </c>
      <c r="D305" s="135" t="s">
        <v>140</v>
      </c>
      <c r="E305" s="110">
        <v>15</v>
      </c>
      <c r="F305" s="110" t="s">
        <v>53</v>
      </c>
      <c r="G305" s="131">
        <v>500000</v>
      </c>
      <c r="H305" s="136">
        <v>1</v>
      </c>
      <c r="I305" s="101" t="s">
        <v>335</v>
      </c>
    </row>
    <row r="306" spans="1:12" x14ac:dyDescent="0.25">
      <c r="A306" s="35">
        <v>169</v>
      </c>
      <c r="B306" s="110" t="s">
        <v>225</v>
      </c>
      <c r="C306" s="110">
        <v>29902</v>
      </c>
      <c r="D306" s="111" t="s">
        <v>117</v>
      </c>
      <c r="E306" s="110">
        <v>30</v>
      </c>
      <c r="F306" s="110" t="s">
        <v>219</v>
      </c>
      <c r="G306" s="131">
        <v>280948</v>
      </c>
      <c r="H306" s="115" t="s">
        <v>19</v>
      </c>
      <c r="I306" s="101" t="s">
        <v>335</v>
      </c>
      <c r="J306" s="31">
        <v>1500000</v>
      </c>
    </row>
    <row r="307" spans="1:12" x14ac:dyDescent="0.25">
      <c r="A307" s="35">
        <v>169</v>
      </c>
      <c r="B307" s="110" t="s">
        <v>225</v>
      </c>
      <c r="C307" s="110">
        <v>29902</v>
      </c>
      <c r="D307" s="111" t="s">
        <v>226</v>
      </c>
      <c r="E307" s="110">
        <v>50</v>
      </c>
      <c r="F307" s="110" t="s">
        <v>219</v>
      </c>
      <c r="G307" s="131">
        <v>228000</v>
      </c>
      <c r="H307" s="115" t="s">
        <v>19</v>
      </c>
      <c r="I307" s="101" t="s">
        <v>335</v>
      </c>
      <c r="L307" s="28">
        <f>SUM(L308:L334)</f>
        <v>815408</v>
      </c>
    </row>
    <row r="308" spans="1:12" ht="30" x14ac:dyDescent="0.25">
      <c r="A308" s="106">
        <v>169</v>
      </c>
      <c r="B308" s="106"/>
      <c r="C308" s="121"/>
      <c r="D308" s="107" t="s">
        <v>82</v>
      </c>
      <c r="E308" s="106"/>
      <c r="F308" s="106"/>
      <c r="G308" s="126">
        <f>+SUBTOTAL(9,G309:G336)</f>
        <v>1558800</v>
      </c>
      <c r="H308" s="108" t="s">
        <v>19</v>
      </c>
      <c r="I308" s="106"/>
    </row>
    <row r="309" spans="1:12" ht="30" x14ac:dyDescent="0.25">
      <c r="A309" s="110">
        <v>169</v>
      </c>
      <c r="B309" s="110">
        <v>14111507</v>
      </c>
      <c r="C309" s="110">
        <v>29903</v>
      </c>
      <c r="D309" s="111" t="s">
        <v>83</v>
      </c>
      <c r="E309" s="110">
        <v>100</v>
      </c>
      <c r="F309" s="110" t="s">
        <v>84</v>
      </c>
      <c r="G309" s="118">
        <v>200000</v>
      </c>
      <c r="H309" s="112" t="s">
        <v>19</v>
      </c>
      <c r="I309" s="101" t="s">
        <v>333</v>
      </c>
      <c r="L309" s="28">
        <v>50000</v>
      </c>
    </row>
    <row r="310" spans="1:12" x14ac:dyDescent="0.25">
      <c r="A310" s="110">
        <v>169</v>
      </c>
      <c r="B310" s="110">
        <v>44122017</v>
      </c>
      <c r="C310" s="110">
        <v>29903</v>
      </c>
      <c r="D310" s="111" t="s">
        <v>85</v>
      </c>
      <c r="E310" s="110">
        <v>5</v>
      </c>
      <c r="F310" s="110" t="s">
        <v>60</v>
      </c>
      <c r="G310" s="118">
        <f>30000-20842</f>
        <v>9158</v>
      </c>
      <c r="H310" s="112" t="s">
        <v>19</v>
      </c>
      <c r="I310" s="101" t="s">
        <v>333</v>
      </c>
    </row>
    <row r="311" spans="1:12" x14ac:dyDescent="0.25">
      <c r="A311" s="110">
        <v>169</v>
      </c>
      <c r="B311" s="110">
        <v>44112011</v>
      </c>
      <c r="C311" s="110">
        <v>29903</v>
      </c>
      <c r="D311" s="111" t="s">
        <v>86</v>
      </c>
      <c r="E311" s="110">
        <v>20</v>
      </c>
      <c r="F311" s="110" t="s">
        <v>60</v>
      </c>
      <c r="G311" s="118">
        <v>53800</v>
      </c>
      <c r="H311" s="112" t="s">
        <v>19</v>
      </c>
      <c r="I311" s="101" t="s">
        <v>333</v>
      </c>
    </row>
    <row r="312" spans="1:12" x14ac:dyDescent="0.25">
      <c r="A312" s="110">
        <v>169</v>
      </c>
      <c r="B312" s="110">
        <v>44121507</v>
      </c>
      <c r="C312" s="110">
        <v>29903</v>
      </c>
      <c r="D312" s="111" t="s">
        <v>87</v>
      </c>
      <c r="E312" s="110">
        <v>12</v>
      </c>
      <c r="F312" s="110" t="s">
        <v>88</v>
      </c>
      <c r="G312" s="118">
        <v>10000</v>
      </c>
      <c r="H312" s="112" t="s">
        <v>19</v>
      </c>
      <c r="I312" s="101" t="s">
        <v>333</v>
      </c>
    </row>
    <row r="313" spans="1:12" x14ac:dyDescent="0.25">
      <c r="A313" s="110">
        <v>169</v>
      </c>
      <c r="B313" s="110">
        <v>44121506</v>
      </c>
      <c r="C313" s="110">
        <v>29903</v>
      </c>
      <c r="D313" s="111" t="s">
        <v>89</v>
      </c>
      <c r="E313" s="110">
        <v>25</v>
      </c>
      <c r="F313" s="110" t="s">
        <v>24</v>
      </c>
      <c r="G313" s="118">
        <v>10000</v>
      </c>
      <c r="H313" s="112" t="s">
        <v>19</v>
      </c>
      <c r="I313" s="101" t="s">
        <v>333</v>
      </c>
    </row>
    <row r="314" spans="1:12" x14ac:dyDescent="0.25">
      <c r="A314" s="110">
        <v>169</v>
      </c>
      <c r="B314" s="110">
        <v>44122011</v>
      </c>
      <c r="C314" s="110">
        <v>29903</v>
      </c>
      <c r="D314" s="111" t="s">
        <v>90</v>
      </c>
      <c r="E314" s="110">
        <v>24</v>
      </c>
      <c r="F314" s="110" t="s">
        <v>24</v>
      </c>
      <c r="G314" s="118">
        <v>12000</v>
      </c>
      <c r="H314" s="112" t="s">
        <v>19</v>
      </c>
      <c r="I314" s="101" t="s">
        <v>333</v>
      </c>
    </row>
    <row r="315" spans="1:12" x14ac:dyDescent="0.25">
      <c r="A315" s="110">
        <v>169</v>
      </c>
      <c r="B315" s="110">
        <v>44112005</v>
      </c>
      <c r="C315" s="110">
        <v>29903</v>
      </c>
      <c r="D315" s="111" t="s">
        <v>91</v>
      </c>
      <c r="E315" s="110">
        <v>55</v>
      </c>
      <c r="F315" s="110" t="s">
        <v>24</v>
      </c>
      <c r="G315" s="118">
        <v>40000</v>
      </c>
      <c r="H315" s="112" t="s">
        <v>19</v>
      </c>
      <c r="I315" s="101" t="s">
        <v>333</v>
      </c>
    </row>
    <row r="316" spans="1:12" x14ac:dyDescent="0.25">
      <c r="A316" s="110">
        <v>169</v>
      </c>
      <c r="B316" s="110">
        <v>14111514</v>
      </c>
      <c r="C316" s="110">
        <v>29903</v>
      </c>
      <c r="D316" s="111" t="s">
        <v>92</v>
      </c>
      <c r="E316" s="110">
        <v>65</v>
      </c>
      <c r="F316" s="110" t="s">
        <v>24</v>
      </c>
      <c r="G316" s="118">
        <v>40500</v>
      </c>
      <c r="H316" s="112" t="s">
        <v>19</v>
      </c>
      <c r="I316" s="101" t="s">
        <v>333</v>
      </c>
    </row>
    <row r="317" spans="1:12" x14ac:dyDescent="0.25">
      <c r="A317" s="110">
        <v>169</v>
      </c>
      <c r="B317" s="110">
        <v>14111610</v>
      </c>
      <c r="C317" s="110">
        <v>29903</v>
      </c>
      <c r="D317" s="111" t="s">
        <v>93</v>
      </c>
      <c r="E317" s="110">
        <v>23</v>
      </c>
      <c r="F317" s="110" t="s">
        <v>88</v>
      </c>
      <c r="G317" s="118">
        <v>8000</v>
      </c>
      <c r="H317" s="112" t="s">
        <v>19</v>
      </c>
      <c r="I317" s="101" t="s">
        <v>333</v>
      </c>
      <c r="L317" s="28">
        <v>100000</v>
      </c>
    </row>
    <row r="318" spans="1:12" x14ac:dyDescent="0.25">
      <c r="A318" s="110">
        <v>169</v>
      </c>
      <c r="B318" s="110">
        <v>44112011</v>
      </c>
      <c r="C318" s="110">
        <v>29903</v>
      </c>
      <c r="D318" s="111" t="s">
        <v>86</v>
      </c>
      <c r="E318" s="110">
        <v>64</v>
      </c>
      <c r="F318" s="110" t="s">
        <v>53</v>
      </c>
      <c r="G318" s="113">
        <v>50000</v>
      </c>
      <c r="H318" s="112" t="s">
        <v>19</v>
      </c>
      <c r="I318" s="101" t="s">
        <v>335</v>
      </c>
      <c r="L318" s="28">
        <v>85000</v>
      </c>
    </row>
    <row r="319" spans="1:12" x14ac:dyDescent="0.25">
      <c r="A319" s="110">
        <v>169</v>
      </c>
      <c r="B319" s="110">
        <v>44121507</v>
      </c>
      <c r="C319" s="110">
        <v>29903</v>
      </c>
      <c r="D319" s="111" t="s">
        <v>87</v>
      </c>
      <c r="E319" s="110">
        <f>117-26</f>
        <v>91</v>
      </c>
      <c r="F319" s="110" t="s">
        <v>53</v>
      </c>
      <c r="G319" s="113">
        <v>20000</v>
      </c>
      <c r="H319" s="112" t="s">
        <v>19</v>
      </c>
      <c r="I319" s="101" t="s">
        <v>335</v>
      </c>
    </row>
    <row r="320" spans="1:12" x14ac:dyDescent="0.25">
      <c r="A320" s="110">
        <v>169</v>
      </c>
      <c r="B320" s="110">
        <v>44122010</v>
      </c>
      <c r="C320" s="110">
        <v>29903</v>
      </c>
      <c r="D320" s="111" t="s">
        <v>94</v>
      </c>
      <c r="E320" s="110">
        <v>87</v>
      </c>
      <c r="F320" s="110" t="s">
        <v>53</v>
      </c>
      <c r="G320" s="113">
        <v>20000</v>
      </c>
      <c r="H320" s="112" t="s">
        <v>19</v>
      </c>
      <c r="I320" s="101" t="s">
        <v>335</v>
      </c>
    </row>
    <row r="321" spans="1:13" x14ac:dyDescent="0.25">
      <c r="A321" s="110">
        <v>169</v>
      </c>
      <c r="B321" s="110">
        <v>44122101</v>
      </c>
      <c r="C321" s="110">
        <v>29903</v>
      </c>
      <c r="D321" s="111" t="s">
        <v>95</v>
      </c>
      <c r="E321" s="110">
        <v>68</v>
      </c>
      <c r="F321" s="110" t="s">
        <v>24</v>
      </c>
      <c r="G321" s="113">
        <v>25280</v>
      </c>
      <c r="H321" s="112" t="s">
        <v>19</v>
      </c>
      <c r="I321" s="101" t="s">
        <v>335</v>
      </c>
      <c r="L321" s="28">
        <v>140000</v>
      </c>
    </row>
    <row r="322" spans="1:13" x14ac:dyDescent="0.25">
      <c r="A322" s="110">
        <v>169</v>
      </c>
      <c r="B322" s="110">
        <v>44121506</v>
      </c>
      <c r="C322" s="110">
        <v>29903</v>
      </c>
      <c r="D322" s="111" t="s">
        <v>89</v>
      </c>
      <c r="E322" s="110">
        <v>5</v>
      </c>
      <c r="F322" s="110" t="s">
        <v>53</v>
      </c>
      <c r="G322" s="113">
        <v>10000</v>
      </c>
      <c r="H322" s="112" t="s">
        <v>19</v>
      </c>
      <c r="I322" s="101" t="s">
        <v>335</v>
      </c>
      <c r="L322" s="28">
        <v>97000</v>
      </c>
    </row>
    <row r="323" spans="1:13" x14ac:dyDescent="0.25">
      <c r="A323" s="110">
        <v>169</v>
      </c>
      <c r="B323" s="110">
        <v>14111514</v>
      </c>
      <c r="C323" s="110">
        <v>29903</v>
      </c>
      <c r="D323" s="111" t="s">
        <v>92</v>
      </c>
      <c r="E323" s="110">
        <v>120</v>
      </c>
      <c r="F323" s="110" t="s">
        <v>24</v>
      </c>
      <c r="G323" s="113">
        <f>149000-140000</f>
        <v>9000</v>
      </c>
      <c r="H323" s="112" t="s">
        <v>19</v>
      </c>
      <c r="I323" s="101" t="s">
        <v>335</v>
      </c>
      <c r="L323" s="28">
        <v>50000</v>
      </c>
    </row>
    <row r="324" spans="1:13" x14ac:dyDescent="0.25">
      <c r="A324" s="110">
        <v>169</v>
      </c>
      <c r="B324" s="110">
        <v>14111514</v>
      </c>
      <c r="C324" s="110">
        <v>29903</v>
      </c>
      <c r="D324" s="111" t="s">
        <v>92</v>
      </c>
      <c r="E324" s="110">
        <v>54</v>
      </c>
      <c r="F324" s="110" t="s">
        <v>76</v>
      </c>
      <c r="G324" s="113">
        <v>5000</v>
      </c>
      <c r="H324" s="112" t="s">
        <v>19</v>
      </c>
      <c r="I324" s="101" t="s">
        <v>334</v>
      </c>
      <c r="L324" s="28">
        <v>28408</v>
      </c>
    </row>
    <row r="325" spans="1:13" x14ac:dyDescent="0.25">
      <c r="A325" s="110">
        <v>169</v>
      </c>
      <c r="B325" s="110">
        <v>14111519</v>
      </c>
      <c r="C325" s="110">
        <v>29903</v>
      </c>
      <c r="D325" s="111" t="s">
        <v>96</v>
      </c>
      <c r="E325" s="110">
        <v>10</v>
      </c>
      <c r="F325" s="110" t="s">
        <v>73</v>
      </c>
      <c r="G325" s="113">
        <f>59400-50000</f>
        <v>9400</v>
      </c>
      <c r="H325" s="112" t="s">
        <v>19</v>
      </c>
      <c r="I325" s="101" t="s">
        <v>334</v>
      </c>
    </row>
    <row r="326" spans="1:13" x14ac:dyDescent="0.25">
      <c r="A326" s="110">
        <v>169</v>
      </c>
      <c r="B326" s="110">
        <v>14111610</v>
      </c>
      <c r="C326" s="110">
        <v>29903</v>
      </c>
      <c r="D326" s="111" t="s">
        <v>93</v>
      </c>
      <c r="E326" s="110">
        <v>25</v>
      </c>
      <c r="F326" s="110" t="s">
        <v>97</v>
      </c>
      <c r="G326" s="113">
        <f>35316-28408</f>
        <v>6908</v>
      </c>
      <c r="H326" s="112" t="s">
        <v>19</v>
      </c>
      <c r="I326" s="101" t="s">
        <v>334</v>
      </c>
    </row>
    <row r="327" spans="1:13" x14ac:dyDescent="0.25">
      <c r="A327" s="110">
        <v>169</v>
      </c>
      <c r="B327" s="110">
        <v>44112005</v>
      </c>
      <c r="C327" s="110">
        <v>29903</v>
      </c>
      <c r="D327" s="111" t="s">
        <v>91</v>
      </c>
      <c r="E327" s="110">
        <v>40</v>
      </c>
      <c r="F327" s="110" t="s">
        <v>76</v>
      </c>
      <c r="G327" s="113">
        <v>25000</v>
      </c>
      <c r="H327" s="112" t="s">
        <v>19</v>
      </c>
      <c r="I327" s="101" t="s">
        <v>334</v>
      </c>
      <c r="L327" s="28">
        <v>100000</v>
      </c>
    </row>
    <row r="328" spans="1:13" x14ac:dyDescent="0.25">
      <c r="A328" s="110">
        <v>169</v>
      </c>
      <c r="B328" s="110">
        <v>44112011</v>
      </c>
      <c r="C328" s="110">
        <v>29903</v>
      </c>
      <c r="D328" s="111" t="s">
        <v>86</v>
      </c>
      <c r="E328" s="110">
        <v>115</v>
      </c>
      <c r="F328" s="110" t="s">
        <v>53</v>
      </c>
      <c r="G328" s="113">
        <v>50000</v>
      </c>
      <c r="H328" s="112" t="s">
        <v>19</v>
      </c>
      <c r="I328" s="101" t="s">
        <v>334</v>
      </c>
      <c r="L328" s="28">
        <v>115000</v>
      </c>
    </row>
    <row r="329" spans="1:13" x14ac:dyDescent="0.25">
      <c r="A329" s="110">
        <v>169</v>
      </c>
      <c r="B329" s="110">
        <v>44121505</v>
      </c>
      <c r="C329" s="110">
        <v>29903</v>
      </c>
      <c r="D329" s="111" t="s">
        <v>89</v>
      </c>
      <c r="E329" s="110">
        <v>600</v>
      </c>
      <c r="F329" s="110" t="s">
        <v>24</v>
      </c>
      <c r="G329" s="113">
        <v>12500</v>
      </c>
      <c r="H329" s="112" t="s">
        <v>19</v>
      </c>
      <c r="I329" s="101" t="s">
        <v>335</v>
      </c>
    </row>
    <row r="330" spans="1:13" x14ac:dyDescent="0.25">
      <c r="A330" s="110">
        <v>169</v>
      </c>
      <c r="B330" s="110">
        <v>44121506</v>
      </c>
      <c r="C330" s="110">
        <v>29903</v>
      </c>
      <c r="D330" s="111" t="s">
        <v>89</v>
      </c>
      <c r="E330" s="110">
        <v>300</v>
      </c>
      <c r="F330" s="110" t="s">
        <v>24</v>
      </c>
      <c r="G330" s="113">
        <f>115428-115000</f>
        <v>428</v>
      </c>
      <c r="H330" s="112" t="s">
        <v>19</v>
      </c>
      <c r="I330" s="101" t="s">
        <v>334</v>
      </c>
      <c r="L330" s="28">
        <v>50000</v>
      </c>
    </row>
    <row r="331" spans="1:13" x14ac:dyDescent="0.25">
      <c r="A331" s="110">
        <v>169</v>
      </c>
      <c r="B331" s="110">
        <v>44121507</v>
      </c>
      <c r="C331" s="110">
        <v>29903</v>
      </c>
      <c r="D331" s="111" t="s">
        <v>87</v>
      </c>
      <c r="E331" s="110">
        <v>17</v>
      </c>
      <c r="F331" s="110" t="s">
        <v>98</v>
      </c>
      <c r="G331" s="113">
        <v>34000</v>
      </c>
      <c r="H331" s="112" t="s">
        <v>19</v>
      </c>
      <c r="I331" s="101" t="s">
        <v>334</v>
      </c>
      <c r="M331" s="28" t="s">
        <v>370</v>
      </c>
    </row>
    <row r="332" spans="1:13" x14ac:dyDescent="0.25">
      <c r="A332" s="110">
        <v>169</v>
      </c>
      <c r="B332" s="110" t="s">
        <v>99</v>
      </c>
      <c r="C332" s="110">
        <v>29903</v>
      </c>
      <c r="D332" s="111" t="s">
        <v>100</v>
      </c>
      <c r="E332" s="110">
        <v>5025</v>
      </c>
      <c r="F332" s="110" t="s">
        <v>24</v>
      </c>
      <c r="G332" s="113">
        <v>12500</v>
      </c>
      <c r="H332" s="112" t="s">
        <v>19</v>
      </c>
      <c r="I332" s="101" t="s">
        <v>335</v>
      </c>
      <c r="M332" s="28" t="s">
        <v>366</v>
      </c>
    </row>
    <row r="333" spans="1:13" x14ac:dyDescent="0.25">
      <c r="A333" s="110">
        <v>169</v>
      </c>
      <c r="B333" s="110">
        <v>44122019</v>
      </c>
      <c r="C333" s="110">
        <v>29903</v>
      </c>
      <c r="D333" s="111" t="s">
        <v>237</v>
      </c>
      <c r="E333" s="110">
        <v>100</v>
      </c>
      <c r="F333" s="110" t="s">
        <v>24</v>
      </c>
      <c r="G333" s="113">
        <f>815408-600000</f>
        <v>215408</v>
      </c>
      <c r="H333" s="112" t="s">
        <v>19</v>
      </c>
      <c r="I333" s="117" t="s">
        <v>334</v>
      </c>
    </row>
    <row r="334" spans="1:13" x14ac:dyDescent="0.25">
      <c r="A334" s="110">
        <v>169</v>
      </c>
      <c r="B334" s="165">
        <v>82121503</v>
      </c>
      <c r="C334" s="110">
        <v>29903</v>
      </c>
      <c r="D334" s="111" t="s">
        <v>374</v>
      </c>
      <c r="E334" s="110">
        <v>50</v>
      </c>
      <c r="F334" s="110" t="s">
        <v>24</v>
      </c>
      <c r="G334" s="113">
        <v>600000</v>
      </c>
      <c r="H334" s="112" t="s">
        <v>19</v>
      </c>
      <c r="I334" s="117" t="s">
        <v>335</v>
      </c>
    </row>
    <row r="335" spans="1:13" x14ac:dyDescent="0.25">
      <c r="A335" s="110">
        <v>169</v>
      </c>
      <c r="B335" s="110">
        <v>44122017</v>
      </c>
      <c r="C335" s="110">
        <v>29903</v>
      </c>
      <c r="D335" s="111" t="s">
        <v>85</v>
      </c>
      <c r="E335" s="110">
        <v>5</v>
      </c>
      <c r="F335" s="110" t="s">
        <v>53</v>
      </c>
      <c r="G335" s="131">
        <v>15000</v>
      </c>
      <c r="H335" s="112" t="s">
        <v>19</v>
      </c>
      <c r="I335" s="117" t="s">
        <v>334</v>
      </c>
    </row>
    <row r="336" spans="1:13" x14ac:dyDescent="0.25">
      <c r="A336" s="110">
        <v>169</v>
      </c>
      <c r="B336" s="110">
        <v>14111530</v>
      </c>
      <c r="C336" s="110">
        <v>29903</v>
      </c>
      <c r="D336" s="111" t="s">
        <v>227</v>
      </c>
      <c r="E336" s="110">
        <v>40</v>
      </c>
      <c r="F336" s="110" t="s">
        <v>24</v>
      </c>
      <c r="G336" s="131">
        <v>54918</v>
      </c>
      <c r="H336" s="112" t="s">
        <v>19</v>
      </c>
      <c r="I336" s="101" t="s">
        <v>335</v>
      </c>
    </row>
    <row r="337" spans="1:9" x14ac:dyDescent="0.25">
      <c r="A337" s="106">
        <v>169</v>
      </c>
      <c r="B337" s="106"/>
      <c r="C337" s="121"/>
      <c r="D337" s="107" t="s">
        <v>251</v>
      </c>
      <c r="E337" s="106"/>
      <c r="F337" s="106"/>
      <c r="G337" s="114">
        <f>+SUBTOTAL(9,G338:G395)</f>
        <v>5000000</v>
      </c>
      <c r="H337" s="108" t="s">
        <v>19</v>
      </c>
      <c r="I337" s="106"/>
    </row>
    <row r="338" spans="1:9" x14ac:dyDescent="0.25">
      <c r="A338" s="110">
        <v>169</v>
      </c>
      <c r="B338" s="110" t="s">
        <v>254</v>
      </c>
      <c r="C338" s="110">
        <v>29905</v>
      </c>
      <c r="D338" s="111" t="s">
        <v>255</v>
      </c>
      <c r="E338" s="110">
        <v>3</v>
      </c>
      <c r="F338" s="110" t="s">
        <v>24</v>
      </c>
      <c r="G338" s="131">
        <v>95000</v>
      </c>
      <c r="H338" s="112" t="s">
        <v>19</v>
      </c>
      <c r="I338" s="101" t="s">
        <v>333</v>
      </c>
    </row>
    <row r="339" spans="1:9" x14ac:dyDescent="0.25">
      <c r="A339" s="110">
        <v>169</v>
      </c>
      <c r="B339" s="110">
        <v>47121806</v>
      </c>
      <c r="C339" s="110">
        <v>29905</v>
      </c>
      <c r="D339" s="111" t="s">
        <v>256</v>
      </c>
      <c r="E339" s="110">
        <v>3</v>
      </c>
      <c r="F339" s="110" t="s">
        <v>24</v>
      </c>
      <c r="G339" s="131">
        <v>75000</v>
      </c>
      <c r="H339" s="112"/>
      <c r="I339" s="101" t="s">
        <v>333</v>
      </c>
    </row>
    <row r="340" spans="1:9" x14ac:dyDescent="0.25">
      <c r="A340" s="110">
        <v>169</v>
      </c>
      <c r="B340" s="110" t="s">
        <v>257</v>
      </c>
      <c r="C340" s="110">
        <v>29905</v>
      </c>
      <c r="D340" s="111" t="s">
        <v>258</v>
      </c>
      <c r="E340" s="110">
        <v>100</v>
      </c>
      <c r="F340" s="110" t="s">
        <v>24</v>
      </c>
      <c r="G340" s="131">
        <v>100000</v>
      </c>
      <c r="H340" s="112" t="s">
        <v>19</v>
      </c>
      <c r="I340" s="101" t="s">
        <v>333</v>
      </c>
    </row>
    <row r="341" spans="1:9" x14ac:dyDescent="0.25">
      <c r="A341" s="110">
        <v>169</v>
      </c>
      <c r="B341" s="110" t="s">
        <v>259</v>
      </c>
      <c r="C341" s="110">
        <v>29905</v>
      </c>
      <c r="D341" s="111" t="s">
        <v>260</v>
      </c>
      <c r="E341" s="110">
        <v>10</v>
      </c>
      <c r="F341" s="110" t="s">
        <v>24</v>
      </c>
      <c r="G341" s="131">
        <v>30000</v>
      </c>
      <c r="H341" s="112" t="s">
        <v>19</v>
      </c>
      <c r="I341" s="101" t="s">
        <v>333</v>
      </c>
    </row>
    <row r="342" spans="1:9" x14ac:dyDescent="0.25">
      <c r="A342" s="110">
        <v>169</v>
      </c>
      <c r="B342" s="110" t="s">
        <v>261</v>
      </c>
      <c r="C342" s="110">
        <v>29905</v>
      </c>
      <c r="D342" s="111" t="s">
        <v>262</v>
      </c>
      <c r="E342" s="110">
        <v>9</v>
      </c>
      <c r="F342" s="110" t="s">
        <v>263</v>
      </c>
      <c r="G342" s="131">
        <v>150000</v>
      </c>
      <c r="H342" s="112" t="s">
        <v>19</v>
      </c>
      <c r="I342" s="101" t="s">
        <v>333</v>
      </c>
    </row>
    <row r="343" spans="1:9" x14ac:dyDescent="0.25">
      <c r="A343" s="110">
        <v>169</v>
      </c>
      <c r="B343" s="110" t="s">
        <v>264</v>
      </c>
      <c r="C343" s="110">
        <v>29905</v>
      </c>
      <c r="D343" s="111" t="s">
        <v>265</v>
      </c>
      <c r="E343" s="110">
        <v>8</v>
      </c>
      <c r="F343" s="110" t="s">
        <v>266</v>
      </c>
      <c r="G343" s="131">
        <v>150000</v>
      </c>
      <c r="H343" s="112" t="s">
        <v>19</v>
      </c>
      <c r="I343" s="101" t="s">
        <v>333</v>
      </c>
    </row>
    <row r="344" spans="1:9" ht="30" x14ac:dyDescent="0.25">
      <c r="A344" s="110">
        <v>169</v>
      </c>
      <c r="B344" s="110" t="s">
        <v>267</v>
      </c>
      <c r="C344" s="110">
        <v>29905</v>
      </c>
      <c r="D344" s="111" t="s">
        <v>268</v>
      </c>
      <c r="E344" s="110">
        <v>5</v>
      </c>
      <c r="F344" s="110" t="s">
        <v>266</v>
      </c>
      <c r="G344" s="131">
        <v>20000</v>
      </c>
      <c r="H344" s="112" t="s">
        <v>19</v>
      </c>
      <c r="I344" s="101" t="s">
        <v>333</v>
      </c>
    </row>
    <row r="345" spans="1:9" x14ac:dyDescent="0.25">
      <c r="A345" s="110">
        <v>169</v>
      </c>
      <c r="B345" s="110" t="s">
        <v>269</v>
      </c>
      <c r="C345" s="110">
        <v>29905</v>
      </c>
      <c r="D345" s="111" t="s">
        <v>270</v>
      </c>
      <c r="E345" s="110">
        <v>15</v>
      </c>
      <c r="F345" s="110" t="s">
        <v>24</v>
      </c>
      <c r="G345" s="131">
        <v>150000</v>
      </c>
      <c r="H345" s="112" t="s">
        <v>19</v>
      </c>
      <c r="I345" s="101" t="s">
        <v>333</v>
      </c>
    </row>
    <row r="346" spans="1:9" x14ac:dyDescent="0.25">
      <c r="A346" s="110">
        <v>169</v>
      </c>
      <c r="B346" s="110" t="s">
        <v>269</v>
      </c>
      <c r="C346" s="110">
        <v>29905</v>
      </c>
      <c r="D346" s="111" t="s">
        <v>271</v>
      </c>
      <c r="E346" s="110">
        <v>70</v>
      </c>
      <c r="F346" s="110" t="s">
        <v>24</v>
      </c>
      <c r="G346" s="131">
        <v>125000</v>
      </c>
      <c r="H346" s="112" t="s">
        <v>19</v>
      </c>
      <c r="I346" s="101" t="s">
        <v>333</v>
      </c>
    </row>
    <row r="347" spans="1:9" x14ac:dyDescent="0.25">
      <c r="A347" s="110">
        <v>169</v>
      </c>
      <c r="B347" s="110">
        <v>47131604</v>
      </c>
      <c r="C347" s="110">
        <v>29905</v>
      </c>
      <c r="D347" s="111" t="s">
        <v>272</v>
      </c>
      <c r="E347" s="110">
        <v>10</v>
      </c>
      <c r="F347" s="110" t="s">
        <v>24</v>
      </c>
      <c r="G347" s="131">
        <v>100000</v>
      </c>
      <c r="H347" s="112" t="s">
        <v>19</v>
      </c>
      <c r="I347" s="101" t="s">
        <v>333</v>
      </c>
    </row>
    <row r="348" spans="1:9" x14ac:dyDescent="0.25">
      <c r="A348" s="110">
        <v>169</v>
      </c>
      <c r="B348" s="110">
        <v>47131602</v>
      </c>
      <c r="C348" s="110">
        <v>29905</v>
      </c>
      <c r="D348" s="111" t="s">
        <v>273</v>
      </c>
      <c r="E348" s="110">
        <v>30</v>
      </c>
      <c r="F348" s="110" t="s">
        <v>24</v>
      </c>
      <c r="G348" s="131">
        <v>50000</v>
      </c>
      <c r="H348" s="112" t="s">
        <v>19</v>
      </c>
      <c r="I348" s="101" t="s">
        <v>333</v>
      </c>
    </row>
    <row r="349" spans="1:9" ht="30" x14ac:dyDescent="0.25">
      <c r="A349" s="110">
        <v>169</v>
      </c>
      <c r="B349" s="110">
        <v>53131608</v>
      </c>
      <c r="C349" s="110">
        <v>29905</v>
      </c>
      <c r="D349" s="111" t="s">
        <v>274</v>
      </c>
      <c r="E349" s="110">
        <v>20</v>
      </c>
      <c r="F349" s="110" t="s">
        <v>24</v>
      </c>
      <c r="G349" s="131">
        <v>100000</v>
      </c>
      <c r="H349" s="112" t="s">
        <v>19</v>
      </c>
      <c r="I349" s="101" t="s">
        <v>333</v>
      </c>
    </row>
    <row r="350" spans="1:9" x14ac:dyDescent="0.25">
      <c r="A350" s="110">
        <v>169</v>
      </c>
      <c r="B350" s="110" t="s">
        <v>275</v>
      </c>
      <c r="C350" s="110">
        <v>29905</v>
      </c>
      <c r="D350" s="111" t="s">
        <v>276</v>
      </c>
      <c r="E350" s="110">
        <v>196</v>
      </c>
      <c r="F350" s="110" t="s">
        <v>277</v>
      </c>
      <c r="G350" s="131">
        <v>100000</v>
      </c>
      <c r="H350" s="112" t="s">
        <v>19</v>
      </c>
      <c r="I350" s="101" t="s">
        <v>333</v>
      </c>
    </row>
    <row r="351" spans="1:9" x14ac:dyDescent="0.25">
      <c r="A351" s="110">
        <v>169</v>
      </c>
      <c r="B351" s="110" t="s">
        <v>278</v>
      </c>
      <c r="C351" s="110">
        <v>29905</v>
      </c>
      <c r="D351" s="111" t="s">
        <v>279</v>
      </c>
      <c r="E351" s="110">
        <v>9</v>
      </c>
      <c r="F351" s="110" t="s">
        <v>24</v>
      </c>
      <c r="G351" s="131">
        <v>50000</v>
      </c>
      <c r="H351" s="112" t="s">
        <v>19</v>
      </c>
      <c r="I351" s="101" t="s">
        <v>333</v>
      </c>
    </row>
    <row r="352" spans="1:9" ht="30" x14ac:dyDescent="0.25">
      <c r="A352" s="110">
        <v>169</v>
      </c>
      <c r="B352" s="110" t="s">
        <v>267</v>
      </c>
      <c r="C352" s="110">
        <v>29905</v>
      </c>
      <c r="D352" s="111" t="s">
        <v>268</v>
      </c>
      <c r="E352" s="110">
        <v>10</v>
      </c>
      <c r="F352" s="110" t="s">
        <v>263</v>
      </c>
      <c r="G352" s="131">
        <v>150000</v>
      </c>
      <c r="H352" s="112" t="s">
        <v>19</v>
      </c>
      <c r="I352" s="101" t="s">
        <v>333</v>
      </c>
    </row>
    <row r="353" spans="1:10" x14ac:dyDescent="0.25">
      <c r="A353" s="110">
        <v>169</v>
      </c>
      <c r="B353" s="110" t="s">
        <v>275</v>
      </c>
      <c r="C353" s="110">
        <v>29905</v>
      </c>
      <c r="D353" s="111" t="s">
        <v>280</v>
      </c>
      <c r="E353" s="110">
        <v>80</v>
      </c>
      <c r="F353" s="110" t="s">
        <v>266</v>
      </c>
      <c r="G353" s="131">
        <v>100000</v>
      </c>
      <c r="H353" s="112" t="s">
        <v>19</v>
      </c>
      <c r="I353" s="101" t="s">
        <v>333</v>
      </c>
    </row>
    <row r="354" spans="1:10" x14ac:dyDescent="0.25">
      <c r="A354" s="110">
        <v>169</v>
      </c>
      <c r="B354" s="110">
        <v>47131821</v>
      </c>
      <c r="C354" s="110">
        <v>29905</v>
      </c>
      <c r="D354" s="111" t="s">
        <v>281</v>
      </c>
      <c r="E354" s="110">
        <v>10</v>
      </c>
      <c r="F354" s="110" t="s">
        <v>266</v>
      </c>
      <c r="G354" s="131">
        <v>50000</v>
      </c>
      <c r="H354" s="112" t="s">
        <v>19</v>
      </c>
      <c r="I354" s="101" t="s">
        <v>333</v>
      </c>
    </row>
    <row r="355" spans="1:10" x14ac:dyDescent="0.25">
      <c r="A355" s="110">
        <v>169</v>
      </c>
      <c r="B355" s="110">
        <v>52121601</v>
      </c>
      <c r="C355" s="110">
        <v>29905</v>
      </c>
      <c r="D355" s="111" t="s">
        <v>282</v>
      </c>
      <c r="E355" s="110">
        <v>8</v>
      </c>
      <c r="F355" s="110" t="s">
        <v>88</v>
      </c>
      <c r="G355" s="131">
        <v>50000</v>
      </c>
      <c r="H355" s="112" t="s">
        <v>19</v>
      </c>
      <c r="I355" s="101" t="s">
        <v>333</v>
      </c>
    </row>
    <row r="356" spans="1:10" x14ac:dyDescent="0.25">
      <c r="A356" s="110">
        <v>169</v>
      </c>
      <c r="B356" s="110">
        <v>47131618</v>
      </c>
      <c r="C356" s="110">
        <v>29905</v>
      </c>
      <c r="D356" s="111" t="s">
        <v>283</v>
      </c>
      <c r="E356" s="110">
        <v>12</v>
      </c>
      <c r="F356" s="110" t="s">
        <v>24</v>
      </c>
      <c r="G356" s="131">
        <v>5000</v>
      </c>
      <c r="H356" s="112" t="s">
        <v>19</v>
      </c>
      <c r="I356" s="101" t="s">
        <v>333</v>
      </c>
    </row>
    <row r="357" spans="1:10" x14ac:dyDescent="0.25">
      <c r="A357" s="110">
        <v>169</v>
      </c>
      <c r="B357" s="110">
        <v>47131601</v>
      </c>
      <c r="C357" s="110">
        <v>29905</v>
      </c>
      <c r="D357" s="111" t="s">
        <v>284</v>
      </c>
      <c r="E357" s="110">
        <v>15</v>
      </c>
      <c r="F357" s="110" t="s">
        <v>24</v>
      </c>
      <c r="G357" s="131">
        <v>50000</v>
      </c>
      <c r="H357" s="112" t="s">
        <v>19</v>
      </c>
      <c r="I357" s="101" t="s">
        <v>333</v>
      </c>
    </row>
    <row r="358" spans="1:10" x14ac:dyDescent="0.25">
      <c r="A358" s="110">
        <v>169</v>
      </c>
      <c r="B358" s="110">
        <v>47131609</v>
      </c>
      <c r="C358" s="110">
        <v>29905</v>
      </c>
      <c r="D358" s="111" t="s">
        <v>285</v>
      </c>
      <c r="E358" s="110">
        <v>14</v>
      </c>
      <c r="F358" s="110" t="s">
        <v>24</v>
      </c>
      <c r="G358" s="131">
        <v>20000</v>
      </c>
      <c r="H358" s="112" t="s">
        <v>19</v>
      </c>
      <c r="I358" s="101" t="s">
        <v>333</v>
      </c>
    </row>
    <row r="359" spans="1:10" ht="30" x14ac:dyDescent="0.25">
      <c r="A359" s="110">
        <v>169</v>
      </c>
      <c r="B359" s="110">
        <v>14111704</v>
      </c>
      <c r="C359" s="110">
        <v>29905</v>
      </c>
      <c r="D359" s="111" t="s">
        <v>286</v>
      </c>
      <c r="E359" s="110">
        <v>7</v>
      </c>
      <c r="F359" s="110" t="s">
        <v>60</v>
      </c>
      <c r="G359" s="131">
        <v>363000</v>
      </c>
      <c r="H359" s="112" t="s">
        <v>19</v>
      </c>
      <c r="I359" s="101" t="s">
        <v>333</v>
      </c>
    </row>
    <row r="360" spans="1:10" ht="30" x14ac:dyDescent="0.25">
      <c r="A360" s="110">
        <v>169</v>
      </c>
      <c r="B360" s="110">
        <v>47131812</v>
      </c>
      <c r="C360" s="110">
        <v>29905</v>
      </c>
      <c r="D360" s="111" t="s">
        <v>287</v>
      </c>
      <c r="E360" s="110">
        <v>3</v>
      </c>
      <c r="F360" s="110" t="s">
        <v>24</v>
      </c>
      <c r="G360" s="131">
        <v>50000</v>
      </c>
      <c r="H360" s="112" t="s">
        <v>19</v>
      </c>
      <c r="I360" s="101" t="s">
        <v>333</v>
      </c>
    </row>
    <row r="361" spans="1:10" x14ac:dyDescent="0.25">
      <c r="A361" s="110">
        <v>169</v>
      </c>
      <c r="B361" s="110">
        <v>14111703</v>
      </c>
      <c r="C361" s="110">
        <v>29905</v>
      </c>
      <c r="D361" s="111" t="s">
        <v>288</v>
      </c>
      <c r="E361" s="110">
        <v>60</v>
      </c>
      <c r="F361" s="110" t="s">
        <v>24</v>
      </c>
      <c r="G361" s="131">
        <v>200000</v>
      </c>
      <c r="H361" s="112" t="s">
        <v>19</v>
      </c>
      <c r="I361" s="101" t="s">
        <v>333</v>
      </c>
      <c r="J361" s="31">
        <v>32500</v>
      </c>
    </row>
    <row r="362" spans="1:10" ht="45" x14ac:dyDescent="0.25">
      <c r="A362" s="110">
        <v>169</v>
      </c>
      <c r="B362" s="110" t="s">
        <v>252</v>
      </c>
      <c r="C362" s="110">
        <v>29905</v>
      </c>
      <c r="D362" s="111" t="s">
        <v>253</v>
      </c>
      <c r="E362" s="110">
        <v>146</v>
      </c>
      <c r="F362" s="110" t="s">
        <v>24</v>
      </c>
      <c r="G362" s="131">
        <v>75000</v>
      </c>
      <c r="H362" s="112" t="s">
        <v>19</v>
      </c>
      <c r="I362" s="101" t="s">
        <v>332</v>
      </c>
    </row>
    <row r="363" spans="1:10" ht="30" x14ac:dyDescent="0.25">
      <c r="A363" s="110">
        <v>169</v>
      </c>
      <c r="B363" s="35" t="s">
        <v>275</v>
      </c>
      <c r="C363" s="37">
        <v>29905</v>
      </c>
      <c r="D363" s="128" t="s">
        <v>289</v>
      </c>
      <c r="E363" s="35">
        <v>75</v>
      </c>
      <c r="F363" s="35" t="s">
        <v>24</v>
      </c>
      <c r="G363" s="137">
        <v>75000</v>
      </c>
      <c r="H363" s="138">
        <v>1</v>
      </c>
      <c r="I363" s="101" t="s">
        <v>332</v>
      </c>
    </row>
    <row r="364" spans="1:10" x14ac:dyDescent="0.25">
      <c r="A364" s="110">
        <v>169</v>
      </c>
      <c r="B364" s="35" t="s">
        <v>254</v>
      </c>
      <c r="C364" s="35">
        <v>29905</v>
      </c>
      <c r="D364" s="128" t="s">
        <v>255</v>
      </c>
      <c r="E364" s="139">
        <v>46</v>
      </c>
      <c r="F364" s="35" t="s">
        <v>24</v>
      </c>
      <c r="G364" s="140">
        <v>50000</v>
      </c>
      <c r="H364" s="141" t="s">
        <v>19</v>
      </c>
      <c r="I364" s="101" t="s">
        <v>332</v>
      </c>
    </row>
    <row r="365" spans="1:10" x14ac:dyDescent="0.25">
      <c r="A365" s="110">
        <v>169</v>
      </c>
      <c r="B365" s="35" t="s">
        <v>257</v>
      </c>
      <c r="C365" s="35">
        <v>29905</v>
      </c>
      <c r="D365" s="128" t="s">
        <v>258</v>
      </c>
      <c r="E365" s="139">
        <v>346</v>
      </c>
      <c r="F365" s="35" t="s">
        <v>73</v>
      </c>
      <c r="G365" s="140">
        <v>90000</v>
      </c>
      <c r="H365" s="129" t="s">
        <v>19</v>
      </c>
      <c r="I365" s="101" t="s">
        <v>332</v>
      </c>
    </row>
    <row r="366" spans="1:10" x14ac:dyDescent="0.25">
      <c r="A366" s="110">
        <v>169</v>
      </c>
      <c r="B366" s="38" t="s">
        <v>259</v>
      </c>
      <c r="C366" s="35">
        <v>29905</v>
      </c>
      <c r="D366" s="128" t="s">
        <v>260</v>
      </c>
      <c r="E366" s="139">
        <v>37</v>
      </c>
      <c r="F366" s="35" t="s">
        <v>24</v>
      </c>
      <c r="G366" s="140">
        <v>41000</v>
      </c>
      <c r="H366" s="141" t="s">
        <v>19</v>
      </c>
      <c r="I366" s="101" t="s">
        <v>332</v>
      </c>
      <c r="J366" s="31">
        <v>100000</v>
      </c>
    </row>
    <row r="367" spans="1:10" x14ac:dyDescent="0.25">
      <c r="A367" s="110">
        <v>169</v>
      </c>
      <c r="B367" s="38" t="s">
        <v>261</v>
      </c>
      <c r="C367" s="35">
        <v>29905</v>
      </c>
      <c r="D367" s="128" t="s">
        <v>262</v>
      </c>
      <c r="E367" s="139">
        <v>73</v>
      </c>
      <c r="F367" s="35" t="s">
        <v>263</v>
      </c>
      <c r="G367" s="140">
        <v>54500</v>
      </c>
      <c r="H367" s="141" t="s">
        <v>19</v>
      </c>
      <c r="I367" s="101" t="s">
        <v>332</v>
      </c>
    </row>
    <row r="368" spans="1:10" x14ac:dyDescent="0.25">
      <c r="A368" s="110">
        <v>169</v>
      </c>
      <c r="B368" s="35" t="s">
        <v>264</v>
      </c>
      <c r="C368" s="37">
        <v>29905</v>
      </c>
      <c r="D368" s="128" t="s">
        <v>265</v>
      </c>
      <c r="E368" s="35">
        <v>50</v>
      </c>
      <c r="F368" s="35" t="s">
        <v>263</v>
      </c>
      <c r="G368" s="137">
        <v>75000</v>
      </c>
      <c r="H368" s="138">
        <v>1</v>
      </c>
      <c r="I368" s="101" t="s">
        <v>332</v>
      </c>
      <c r="J368" s="31">
        <v>3000000</v>
      </c>
    </row>
    <row r="369" spans="1:11" ht="30" x14ac:dyDescent="0.25">
      <c r="A369" s="110">
        <v>169</v>
      </c>
      <c r="B369" s="101" t="s">
        <v>267</v>
      </c>
      <c r="C369" s="110">
        <v>29905</v>
      </c>
      <c r="D369" s="111" t="s">
        <v>268</v>
      </c>
      <c r="E369" s="142">
        <v>111</v>
      </c>
      <c r="F369" s="110" t="s">
        <v>24</v>
      </c>
      <c r="G369" s="131">
        <v>41000</v>
      </c>
      <c r="H369" s="115" t="s">
        <v>19</v>
      </c>
      <c r="I369" s="101" t="s">
        <v>332</v>
      </c>
    </row>
    <row r="370" spans="1:11" x14ac:dyDescent="0.25">
      <c r="A370" s="110">
        <v>169</v>
      </c>
      <c r="B370" s="35" t="s">
        <v>269</v>
      </c>
      <c r="C370" s="37">
        <v>29905</v>
      </c>
      <c r="D370" s="128" t="s">
        <v>270</v>
      </c>
      <c r="E370" s="35">
        <v>116</v>
      </c>
      <c r="F370" s="35" t="s">
        <v>24</v>
      </c>
      <c r="G370" s="137">
        <v>60000</v>
      </c>
      <c r="H370" s="138">
        <v>1</v>
      </c>
      <c r="I370" s="101" t="s">
        <v>332</v>
      </c>
    </row>
    <row r="371" spans="1:11" x14ac:dyDescent="0.25">
      <c r="A371" s="110">
        <v>169</v>
      </c>
      <c r="B371" s="38" t="s">
        <v>269</v>
      </c>
      <c r="C371" s="35">
        <v>29905</v>
      </c>
      <c r="D371" s="128" t="s">
        <v>271</v>
      </c>
      <c r="E371" s="139">
        <v>185</v>
      </c>
      <c r="F371" s="35" t="s">
        <v>53</v>
      </c>
      <c r="G371" s="140">
        <v>50000</v>
      </c>
      <c r="H371" s="141" t="s">
        <v>19</v>
      </c>
      <c r="I371" s="101" t="s">
        <v>332</v>
      </c>
      <c r="K371" s="28" t="s">
        <v>239</v>
      </c>
    </row>
    <row r="372" spans="1:11" ht="30" x14ac:dyDescent="0.25">
      <c r="A372" s="110">
        <v>169</v>
      </c>
      <c r="B372" s="35">
        <v>47131706</v>
      </c>
      <c r="C372" s="37">
        <v>29905</v>
      </c>
      <c r="D372" s="128" t="s">
        <v>290</v>
      </c>
      <c r="E372" s="35">
        <v>131</v>
      </c>
      <c r="F372" s="35" t="s">
        <v>24</v>
      </c>
      <c r="G372" s="137">
        <v>50000</v>
      </c>
      <c r="H372" s="138">
        <v>1</v>
      </c>
      <c r="I372" s="101" t="s">
        <v>332</v>
      </c>
      <c r="J372" s="36">
        <v>6739107</v>
      </c>
      <c r="K372" s="90"/>
    </row>
    <row r="373" spans="1:11" x14ac:dyDescent="0.25">
      <c r="A373" s="110">
        <v>169</v>
      </c>
      <c r="B373" s="38">
        <v>47131604</v>
      </c>
      <c r="C373" s="38">
        <v>29905</v>
      </c>
      <c r="D373" s="143" t="s">
        <v>272</v>
      </c>
      <c r="E373" s="38">
        <v>76</v>
      </c>
      <c r="F373" s="38" t="s">
        <v>24</v>
      </c>
      <c r="G373" s="144">
        <v>46000</v>
      </c>
      <c r="H373" s="38">
        <v>1</v>
      </c>
      <c r="I373" s="101" t="s">
        <v>332</v>
      </c>
    </row>
    <row r="374" spans="1:11" x14ac:dyDescent="0.25">
      <c r="A374" s="110">
        <v>169</v>
      </c>
      <c r="B374" s="35">
        <v>47131603</v>
      </c>
      <c r="C374" s="37">
        <v>29905</v>
      </c>
      <c r="D374" s="128" t="s">
        <v>273</v>
      </c>
      <c r="E374" s="35">
        <v>170</v>
      </c>
      <c r="F374" s="35" t="s">
        <v>73</v>
      </c>
      <c r="G374" s="137">
        <v>51500</v>
      </c>
      <c r="H374" s="138">
        <v>1</v>
      </c>
      <c r="I374" s="101" t="s">
        <v>332</v>
      </c>
    </row>
    <row r="375" spans="1:11" x14ac:dyDescent="0.25">
      <c r="A375" s="110">
        <v>169</v>
      </c>
      <c r="B375" s="101">
        <v>53131608</v>
      </c>
      <c r="C375" s="101">
        <v>29905</v>
      </c>
      <c r="D375" s="145" t="s">
        <v>274</v>
      </c>
      <c r="E375" s="101">
        <v>150</v>
      </c>
      <c r="F375" s="101" t="s">
        <v>24</v>
      </c>
      <c r="G375" s="146">
        <v>87000</v>
      </c>
      <c r="H375" s="101">
        <v>1</v>
      </c>
      <c r="I375" s="101" t="s">
        <v>332</v>
      </c>
    </row>
    <row r="376" spans="1:11" x14ac:dyDescent="0.25">
      <c r="A376" s="110">
        <v>169</v>
      </c>
      <c r="B376" s="101" t="s">
        <v>278</v>
      </c>
      <c r="C376" s="101">
        <v>29905</v>
      </c>
      <c r="D376" s="145" t="s">
        <v>279</v>
      </c>
      <c r="E376" s="101">
        <v>160</v>
      </c>
      <c r="F376" s="101" t="s">
        <v>24</v>
      </c>
      <c r="G376" s="146">
        <v>81000</v>
      </c>
      <c r="H376" s="101">
        <v>1</v>
      </c>
      <c r="I376" s="101" t="s">
        <v>332</v>
      </c>
    </row>
    <row r="377" spans="1:11" x14ac:dyDescent="0.25">
      <c r="A377" s="110">
        <v>169</v>
      </c>
      <c r="B377" s="101">
        <v>52121601</v>
      </c>
      <c r="C377" s="101">
        <v>29905</v>
      </c>
      <c r="D377" s="145" t="s">
        <v>282</v>
      </c>
      <c r="E377" s="101">
        <v>100</v>
      </c>
      <c r="F377" s="101" t="s">
        <v>73</v>
      </c>
      <c r="G377" s="146">
        <v>75000</v>
      </c>
      <c r="H377" s="101">
        <v>1</v>
      </c>
      <c r="I377" s="101" t="s">
        <v>332</v>
      </c>
    </row>
    <row r="378" spans="1:11" x14ac:dyDescent="0.25">
      <c r="A378" s="110">
        <v>169</v>
      </c>
      <c r="B378" s="101">
        <v>47131618</v>
      </c>
      <c r="C378" s="101">
        <v>29905</v>
      </c>
      <c r="D378" s="145" t="s">
        <v>283</v>
      </c>
      <c r="E378" s="101">
        <v>117</v>
      </c>
      <c r="F378" s="101" t="s">
        <v>73</v>
      </c>
      <c r="G378" s="146">
        <v>66000</v>
      </c>
      <c r="H378" s="101">
        <v>1</v>
      </c>
      <c r="I378" s="101" t="s">
        <v>332</v>
      </c>
    </row>
    <row r="379" spans="1:11" x14ac:dyDescent="0.25">
      <c r="A379" s="110">
        <v>169</v>
      </c>
      <c r="B379" s="101">
        <v>47131601</v>
      </c>
      <c r="C379" s="101">
        <v>29905</v>
      </c>
      <c r="D379" s="145" t="s">
        <v>284</v>
      </c>
      <c r="E379" s="101">
        <v>33</v>
      </c>
      <c r="F379" s="101" t="s">
        <v>24</v>
      </c>
      <c r="G379" s="146">
        <v>23500</v>
      </c>
      <c r="H379" s="101">
        <v>1</v>
      </c>
      <c r="I379" s="101" t="s">
        <v>332</v>
      </c>
    </row>
    <row r="380" spans="1:11" x14ac:dyDescent="0.25">
      <c r="A380" s="110">
        <v>169</v>
      </c>
      <c r="B380" s="117">
        <v>47131609</v>
      </c>
      <c r="C380" s="101">
        <v>29905</v>
      </c>
      <c r="D380" s="103" t="s">
        <v>285</v>
      </c>
      <c r="E380" s="101">
        <v>45</v>
      </c>
      <c r="F380" s="101" t="s">
        <v>24</v>
      </c>
      <c r="G380" s="146">
        <v>38500</v>
      </c>
      <c r="H380" s="101">
        <v>1</v>
      </c>
      <c r="I380" s="101" t="s">
        <v>332</v>
      </c>
    </row>
    <row r="381" spans="1:11" x14ac:dyDescent="0.25">
      <c r="A381" s="110">
        <v>169</v>
      </c>
      <c r="B381" s="101">
        <v>14111704</v>
      </c>
      <c r="C381" s="101">
        <v>29905</v>
      </c>
      <c r="D381" s="145" t="s">
        <v>291</v>
      </c>
      <c r="E381" s="101">
        <v>100</v>
      </c>
      <c r="F381" s="101" t="s">
        <v>24</v>
      </c>
      <c r="G381" s="146">
        <v>30000</v>
      </c>
      <c r="H381" s="101">
        <v>1</v>
      </c>
      <c r="I381" s="101" t="s">
        <v>332</v>
      </c>
    </row>
    <row r="382" spans="1:11" x14ac:dyDescent="0.25">
      <c r="A382" s="110">
        <v>169</v>
      </c>
      <c r="B382" s="101">
        <v>14111704</v>
      </c>
      <c r="C382" s="101">
        <v>29905</v>
      </c>
      <c r="D382" s="145" t="s">
        <v>286</v>
      </c>
      <c r="E382" s="101">
        <v>282</v>
      </c>
      <c r="F382" s="101" t="s">
        <v>24</v>
      </c>
      <c r="G382" s="146">
        <v>45000</v>
      </c>
      <c r="H382" s="101">
        <v>1</v>
      </c>
      <c r="I382" s="101" t="s">
        <v>332</v>
      </c>
    </row>
    <row r="383" spans="1:11" x14ac:dyDescent="0.25">
      <c r="A383" s="110">
        <v>169</v>
      </c>
      <c r="B383" s="101">
        <v>47131812</v>
      </c>
      <c r="C383" s="101">
        <v>29905</v>
      </c>
      <c r="D383" s="145" t="s">
        <v>287</v>
      </c>
      <c r="E383" s="101">
        <v>76</v>
      </c>
      <c r="F383" s="101" t="s">
        <v>53</v>
      </c>
      <c r="G383" s="146">
        <v>47000</v>
      </c>
      <c r="H383" s="101">
        <v>1</v>
      </c>
      <c r="I383" s="101" t="s">
        <v>332</v>
      </c>
    </row>
    <row r="384" spans="1:11" x14ac:dyDescent="0.25">
      <c r="A384" s="110">
        <v>169</v>
      </c>
      <c r="B384" s="101">
        <v>14111705</v>
      </c>
      <c r="C384" s="101">
        <v>29905</v>
      </c>
      <c r="D384" s="145" t="s">
        <v>292</v>
      </c>
      <c r="E384" s="101">
        <v>283</v>
      </c>
      <c r="F384" s="101" t="s">
        <v>73</v>
      </c>
      <c r="G384" s="146">
        <v>92500</v>
      </c>
      <c r="H384" s="101">
        <v>1</v>
      </c>
      <c r="I384" s="101" t="s">
        <v>332</v>
      </c>
    </row>
    <row r="385" spans="1:13" x14ac:dyDescent="0.25">
      <c r="A385" s="110">
        <v>169</v>
      </c>
      <c r="B385" s="101">
        <v>14111703</v>
      </c>
      <c r="C385" s="101">
        <v>29905</v>
      </c>
      <c r="D385" s="145" t="s">
        <v>288</v>
      </c>
      <c r="E385" s="101">
        <v>150</v>
      </c>
      <c r="F385" s="101" t="s">
        <v>53</v>
      </c>
      <c r="G385" s="146">
        <v>150000</v>
      </c>
      <c r="H385" s="101">
        <v>1</v>
      </c>
      <c r="I385" s="101" t="s">
        <v>332</v>
      </c>
    </row>
    <row r="386" spans="1:13" x14ac:dyDescent="0.25">
      <c r="A386" s="110">
        <v>169</v>
      </c>
      <c r="B386" s="101">
        <v>47131821</v>
      </c>
      <c r="C386" s="101">
        <v>29905</v>
      </c>
      <c r="D386" s="145" t="s">
        <v>281</v>
      </c>
      <c r="E386" s="101">
        <v>12</v>
      </c>
      <c r="F386" s="101" t="s">
        <v>293</v>
      </c>
      <c r="G386" s="146">
        <v>30000</v>
      </c>
      <c r="H386" s="101">
        <v>1</v>
      </c>
      <c r="I386" s="101" t="s">
        <v>332</v>
      </c>
    </row>
    <row r="387" spans="1:13" x14ac:dyDescent="0.25">
      <c r="A387" s="110">
        <v>169</v>
      </c>
      <c r="B387" s="101" t="s">
        <v>275</v>
      </c>
      <c r="C387" s="101">
        <v>29905</v>
      </c>
      <c r="D387" s="145" t="s">
        <v>280</v>
      </c>
      <c r="E387" s="101">
        <v>31</v>
      </c>
      <c r="F387" s="101" t="s">
        <v>76</v>
      </c>
      <c r="G387" s="146">
        <v>50000</v>
      </c>
      <c r="H387" s="101">
        <v>1</v>
      </c>
      <c r="I387" s="101" t="s">
        <v>332</v>
      </c>
    </row>
    <row r="388" spans="1:13" x14ac:dyDescent="0.25">
      <c r="A388" s="110">
        <v>169</v>
      </c>
      <c r="B388" s="101">
        <v>51473016</v>
      </c>
      <c r="C388" s="101">
        <v>29905</v>
      </c>
      <c r="D388" s="145" t="s">
        <v>294</v>
      </c>
      <c r="E388" s="101">
        <v>500</v>
      </c>
      <c r="F388" s="101" t="s">
        <v>24</v>
      </c>
      <c r="G388" s="146">
        <v>250000</v>
      </c>
      <c r="H388" s="101">
        <v>1</v>
      </c>
      <c r="I388" s="101" t="s">
        <v>332</v>
      </c>
    </row>
    <row r="389" spans="1:13" x14ac:dyDescent="0.25">
      <c r="A389" s="110">
        <v>169</v>
      </c>
      <c r="B389" s="101">
        <v>47131710</v>
      </c>
      <c r="C389" s="101">
        <v>29905</v>
      </c>
      <c r="D389" s="145" t="s">
        <v>295</v>
      </c>
      <c r="E389" s="101">
        <v>10</v>
      </c>
      <c r="F389" s="101" t="s">
        <v>24</v>
      </c>
      <c r="G389" s="146">
        <v>150000</v>
      </c>
      <c r="H389" s="101">
        <v>1</v>
      </c>
      <c r="I389" s="101" t="s">
        <v>332</v>
      </c>
    </row>
    <row r="390" spans="1:13" x14ac:dyDescent="0.25">
      <c r="A390" s="110">
        <v>169</v>
      </c>
      <c r="B390" s="101">
        <v>47131701</v>
      </c>
      <c r="C390" s="101">
        <v>29905</v>
      </c>
      <c r="D390" s="145" t="s">
        <v>296</v>
      </c>
      <c r="E390" s="101">
        <v>15</v>
      </c>
      <c r="F390" s="101" t="s">
        <v>24</v>
      </c>
      <c r="G390" s="146">
        <v>300000</v>
      </c>
      <c r="H390" s="101">
        <v>1</v>
      </c>
      <c r="I390" s="101" t="s">
        <v>332</v>
      </c>
    </row>
    <row r="391" spans="1:13" x14ac:dyDescent="0.25">
      <c r="A391" s="110">
        <v>169</v>
      </c>
      <c r="B391" s="101">
        <v>47131811</v>
      </c>
      <c r="C391" s="101">
        <v>29905</v>
      </c>
      <c r="D391" s="145" t="s">
        <v>297</v>
      </c>
      <c r="E391" s="101">
        <v>150</v>
      </c>
      <c r="F391" s="101" t="s">
        <v>24</v>
      </c>
      <c r="G391" s="146">
        <v>85000</v>
      </c>
      <c r="H391" s="101">
        <v>1</v>
      </c>
      <c r="I391" s="101" t="s">
        <v>332</v>
      </c>
    </row>
    <row r="392" spans="1:13" x14ac:dyDescent="0.25">
      <c r="A392" s="110">
        <v>169</v>
      </c>
      <c r="B392" s="101">
        <v>46181504</v>
      </c>
      <c r="C392" s="101">
        <v>29905</v>
      </c>
      <c r="D392" s="145" t="s">
        <v>298</v>
      </c>
      <c r="E392" s="101">
        <v>40</v>
      </c>
      <c r="F392" s="101" t="s">
        <v>24</v>
      </c>
      <c r="G392" s="146">
        <v>100000</v>
      </c>
      <c r="H392" s="101">
        <v>1</v>
      </c>
      <c r="I392" s="101" t="s">
        <v>332</v>
      </c>
    </row>
    <row r="393" spans="1:13" x14ac:dyDescent="0.25">
      <c r="A393" s="110">
        <v>169</v>
      </c>
      <c r="B393" s="101">
        <v>44102999</v>
      </c>
      <c r="C393" s="101">
        <v>29905</v>
      </c>
      <c r="D393" s="145" t="s">
        <v>299</v>
      </c>
      <c r="E393" s="101">
        <v>50</v>
      </c>
      <c r="F393" s="101" t="s">
        <v>24</v>
      </c>
      <c r="G393" s="146">
        <v>100000</v>
      </c>
      <c r="H393" s="101">
        <v>1</v>
      </c>
      <c r="I393" s="101" t="s">
        <v>332</v>
      </c>
    </row>
    <row r="394" spans="1:13" x14ac:dyDescent="0.25">
      <c r="A394" s="110">
        <v>169</v>
      </c>
      <c r="B394" s="101">
        <v>47131605</v>
      </c>
      <c r="C394" s="101">
        <v>29905</v>
      </c>
      <c r="D394" s="145" t="s">
        <v>300</v>
      </c>
      <c r="E394" s="101">
        <v>15</v>
      </c>
      <c r="F394" s="101" t="s">
        <v>24</v>
      </c>
      <c r="G394" s="146">
        <v>7500</v>
      </c>
      <c r="H394" s="101">
        <v>1</v>
      </c>
      <c r="I394" s="101" t="s">
        <v>332</v>
      </c>
      <c r="J394" s="39"/>
    </row>
    <row r="395" spans="1:13" x14ac:dyDescent="0.25">
      <c r="A395" s="110">
        <v>169</v>
      </c>
      <c r="B395" s="101">
        <v>30181614</v>
      </c>
      <c r="C395" s="101">
        <v>29905</v>
      </c>
      <c r="D395" s="145" t="s">
        <v>301</v>
      </c>
      <c r="E395" s="101">
        <v>20</v>
      </c>
      <c r="F395" s="101" t="s">
        <v>24</v>
      </c>
      <c r="G395" s="146">
        <v>100000</v>
      </c>
      <c r="H395" s="101">
        <v>1</v>
      </c>
      <c r="I395" s="101" t="s">
        <v>332</v>
      </c>
      <c r="J395" s="40" t="s">
        <v>141</v>
      </c>
    </row>
    <row r="396" spans="1:13" ht="30" x14ac:dyDescent="0.25">
      <c r="A396" s="147">
        <v>169</v>
      </c>
      <c r="B396" s="39"/>
      <c r="C396" s="39"/>
      <c r="D396" s="148" t="s">
        <v>101</v>
      </c>
      <c r="E396" s="148"/>
      <c r="F396" s="39"/>
      <c r="G396" s="149">
        <f>+SUBTOTAL(9,G397:G398)</f>
        <v>600000</v>
      </c>
      <c r="H396" s="108">
        <v>1</v>
      </c>
      <c r="I396" s="106" t="s">
        <v>331</v>
      </c>
      <c r="J396" s="41"/>
    </row>
    <row r="397" spans="1:13" x14ac:dyDescent="0.25">
      <c r="A397" s="150">
        <v>169</v>
      </c>
      <c r="B397" s="151">
        <v>49101701</v>
      </c>
      <c r="C397" s="151">
        <v>29999</v>
      </c>
      <c r="D397" s="152" t="s">
        <v>228</v>
      </c>
      <c r="E397" s="153">
        <v>4</v>
      </c>
      <c r="F397" s="153" t="s">
        <v>55</v>
      </c>
      <c r="G397" s="146">
        <v>100000</v>
      </c>
      <c r="H397" s="101">
        <v>1</v>
      </c>
      <c r="I397" s="101" t="s">
        <v>331</v>
      </c>
      <c r="J397" s="41"/>
      <c r="M397" s="91"/>
    </row>
    <row r="398" spans="1:13" x14ac:dyDescent="0.25">
      <c r="A398" s="150"/>
      <c r="B398" s="151"/>
      <c r="C398" s="151">
        <v>29999</v>
      </c>
      <c r="D398" s="152" t="s">
        <v>399</v>
      </c>
      <c r="E398" s="153">
        <v>10</v>
      </c>
      <c r="F398" s="153" t="s">
        <v>55</v>
      </c>
      <c r="G398" s="146">
        <v>500000</v>
      </c>
      <c r="H398" s="101">
        <v>1</v>
      </c>
      <c r="I398" s="101" t="s">
        <v>400</v>
      </c>
      <c r="J398" s="41"/>
    </row>
    <row r="399" spans="1:13" x14ac:dyDescent="0.25">
      <c r="A399" s="106">
        <v>169</v>
      </c>
      <c r="B399" s="106"/>
      <c r="C399" s="106"/>
      <c r="D399" s="107" t="s">
        <v>240</v>
      </c>
      <c r="E399" s="106"/>
      <c r="F399" s="106"/>
      <c r="G399" s="126">
        <f>+SUBTOTAL(9,G400)</f>
        <v>7000000</v>
      </c>
      <c r="H399" s="108" t="s">
        <v>302</v>
      </c>
      <c r="I399" s="106"/>
      <c r="J399" s="41"/>
    </row>
    <row r="400" spans="1:13" x14ac:dyDescent="0.25">
      <c r="A400" s="110">
        <v>169</v>
      </c>
      <c r="B400" s="101">
        <v>43222644</v>
      </c>
      <c r="C400" s="101">
        <v>50103</v>
      </c>
      <c r="D400" s="145" t="s">
        <v>241</v>
      </c>
      <c r="E400" s="101">
        <v>1</v>
      </c>
      <c r="F400" s="101" t="s">
        <v>24</v>
      </c>
      <c r="G400" s="146">
        <v>7000000</v>
      </c>
      <c r="H400" s="101">
        <v>280</v>
      </c>
      <c r="I400" s="101" t="s">
        <v>334</v>
      </c>
      <c r="M400" s="28" t="s">
        <v>391</v>
      </c>
    </row>
    <row r="401" spans="1:13" x14ac:dyDescent="0.25">
      <c r="A401" s="106">
        <v>169</v>
      </c>
      <c r="B401" s="106"/>
      <c r="C401" s="106"/>
      <c r="D401" s="107" t="s">
        <v>303</v>
      </c>
      <c r="E401" s="106"/>
      <c r="F401" s="106"/>
      <c r="G401" s="126">
        <f>+SUBTOTAL(9,G402:G424)</f>
        <v>22800000</v>
      </c>
      <c r="H401" s="108" t="s">
        <v>302</v>
      </c>
      <c r="I401" s="106"/>
    </row>
    <row r="402" spans="1:13" x14ac:dyDescent="0.25">
      <c r="A402" s="110">
        <v>169</v>
      </c>
      <c r="B402" s="101">
        <v>40101701</v>
      </c>
      <c r="C402" s="101">
        <v>50104</v>
      </c>
      <c r="D402" s="145" t="s">
        <v>304</v>
      </c>
      <c r="E402" s="101">
        <v>5</v>
      </c>
      <c r="F402" s="101" t="s">
        <v>24</v>
      </c>
      <c r="G402" s="146">
        <f>1000000+400000</f>
        <v>1400000</v>
      </c>
      <c r="H402" s="101">
        <v>280</v>
      </c>
      <c r="I402" s="101" t="s">
        <v>334</v>
      </c>
    </row>
    <row r="403" spans="1:13" x14ac:dyDescent="0.25">
      <c r="A403" s="110">
        <v>169</v>
      </c>
      <c r="B403" s="101">
        <v>56112102</v>
      </c>
      <c r="C403" s="101">
        <v>50104</v>
      </c>
      <c r="D403" s="145" t="s">
        <v>305</v>
      </c>
      <c r="E403" s="101">
        <v>15</v>
      </c>
      <c r="F403" s="101" t="s">
        <v>24</v>
      </c>
      <c r="G403" s="146">
        <v>539107</v>
      </c>
      <c r="H403" s="101">
        <v>280</v>
      </c>
      <c r="I403" s="101" t="s">
        <v>334</v>
      </c>
    </row>
    <row r="404" spans="1:13" x14ac:dyDescent="0.25">
      <c r="A404" s="110">
        <v>169</v>
      </c>
      <c r="B404" s="101">
        <v>40101604</v>
      </c>
      <c r="C404" s="101">
        <v>50104</v>
      </c>
      <c r="D404" s="145" t="s">
        <v>306</v>
      </c>
      <c r="E404" s="101">
        <v>20</v>
      </c>
      <c r="F404" s="101" t="s">
        <v>24</v>
      </c>
      <c r="G404" s="146">
        <v>300000</v>
      </c>
      <c r="H404" s="101">
        <v>280</v>
      </c>
      <c r="I404" s="101" t="s">
        <v>334</v>
      </c>
    </row>
    <row r="405" spans="1:13" x14ac:dyDescent="0.25">
      <c r="A405" s="110">
        <v>169</v>
      </c>
      <c r="B405" s="101">
        <v>40101609</v>
      </c>
      <c r="C405" s="101">
        <v>50104</v>
      </c>
      <c r="D405" s="145" t="s">
        <v>307</v>
      </c>
      <c r="E405" s="101">
        <v>10</v>
      </c>
      <c r="F405" s="101" t="s">
        <v>24</v>
      </c>
      <c r="G405" s="146">
        <v>260893</v>
      </c>
      <c r="H405" s="101">
        <v>280</v>
      </c>
      <c r="I405" s="101" t="s">
        <v>334</v>
      </c>
      <c r="M405" s="28" t="s">
        <v>391</v>
      </c>
    </row>
    <row r="406" spans="1:13" x14ac:dyDescent="0.25">
      <c r="A406" s="110">
        <v>169</v>
      </c>
      <c r="B406" s="101">
        <v>56101504</v>
      </c>
      <c r="C406" s="101">
        <v>50104</v>
      </c>
      <c r="D406" s="145" t="s">
        <v>308</v>
      </c>
      <c r="E406" s="101">
        <v>106</v>
      </c>
      <c r="F406" s="101" t="s">
        <v>24</v>
      </c>
      <c r="G406" s="146">
        <v>150000</v>
      </c>
      <c r="H406" s="101">
        <v>280</v>
      </c>
      <c r="I406" s="101" t="s">
        <v>334</v>
      </c>
    </row>
    <row r="407" spans="1:13" ht="45" x14ac:dyDescent="0.25">
      <c r="A407" s="110">
        <v>169</v>
      </c>
      <c r="B407" s="117">
        <v>40101701</v>
      </c>
      <c r="C407" s="101">
        <v>50104</v>
      </c>
      <c r="D407" s="103" t="s">
        <v>309</v>
      </c>
      <c r="E407" s="101">
        <v>1</v>
      </c>
      <c r="F407" s="101" t="s">
        <v>24</v>
      </c>
      <c r="G407" s="146">
        <f>400000+15400000</f>
        <v>15800000</v>
      </c>
      <c r="H407" s="101">
        <v>280</v>
      </c>
      <c r="I407" s="101" t="s">
        <v>334</v>
      </c>
    </row>
    <row r="408" spans="1:13" x14ac:dyDescent="0.25">
      <c r="A408" s="110">
        <v>169</v>
      </c>
      <c r="B408" s="101">
        <v>56101519</v>
      </c>
      <c r="C408" s="101">
        <v>50104</v>
      </c>
      <c r="D408" s="145" t="s">
        <v>310</v>
      </c>
      <c r="E408" s="101">
        <v>15</v>
      </c>
      <c r="F408" s="101" t="s">
        <v>24</v>
      </c>
      <c r="G408" s="146">
        <v>200000</v>
      </c>
      <c r="H408" s="101">
        <v>280</v>
      </c>
      <c r="I408" s="101" t="s">
        <v>334</v>
      </c>
    </row>
    <row r="409" spans="1:13" x14ac:dyDescent="0.25">
      <c r="A409" s="110">
        <v>169</v>
      </c>
      <c r="B409" s="101">
        <v>56101542</v>
      </c>
      <c r="C409" s="101">
        <v>50104</v>
      </c>
      <c r="D409" s="145" t="s">
        <v>311</v>
      </c>
      <c r="E409" s="101">
        <v>80</v>
      </c>
      <c r="F409" s="101" t="s">
        <v>24</v>
      </c>
      <c r="G409" s="146">
        <v>30000</v>
      </c>
      <c r="H409" s="101">
        <v>280</v>
      </c>
      <c r="I409" s="101" t="s">
        <v>334</v>
      </c>
    </row>
    <row r="410" spans="1:13" x14ac:dyDescent="0.25">
      <c r="A410" s="110">
        <v>169</v>
      </c>
      <c r="B410" s="101">
        <v>56101599</v>
      </c>
      <c r="C410" s="101">
        <v>50104</v>
      </c>
      <c r="D410" s="145" t="s">
        <v>312</v>
      </c>
      <c r="E410" s="101">
        <v>30</v>
      </c>
      <c r="F410" s="101" t="s">
        <v>24</v>
      </c>
      <c r="G410" s="146">
        <v>200000</v>
      </c>
      <c r="H410" s="101">
        <v>280</v>
      </c>
      <c r="I410" s="101" t="s">
        <v>334</v>
      </c>
    </row>
    <row r="411" spans="1:13" x14ac:dyDescent="0.25">
      <c r="A411" s="110">
        <v>169</v>
      </c>
      <c r="B411" s="101">
        <v>56111503</v>
      </c>
      <c r="C411" s="101">
        <v>50104</v>
      </c>
      <c r="D411" s="145" t="s">
        <v>313</v>
      </c>
      <c r="E411" s="101">
        <v>2</v>
      </c>
      <c r="F411" s="101" t="s">
        <v>24</v>
      </c>
      <c r="G411" s="146">
        <v>300000</v>
      </c>
      <c r="H411" s="101">
        <v>280</v>
      </c>
      <c r="I411" s="101" t="s">
        <v>334</v>
      </c>
    </row>
    <row r="412" spans="1:13" x14ac:dyDescent="0.25">
      <c r="A412" s="110">
        <v>169</v>
      </c>
      <c r="B412" s="101">
        <v>56101530</v>
      </c>
      <c r="C412" s="101">
        <v>50104</v>
      </c>
      <c r="D412" s="145" t="s">
        <v>314</v>
      </c>
      <c r="E412" s="101">
        <v>1</v>
      </c>
      <c r="F412" s="101" t="s">
        <v>24</v>
      </c>
      <c r="G412" s="146">
        <v>100000</v>
      </c>
      <c r="H412" s="101">
        <v>280</v>
      </c>
      <c r="I412" s="101" t="s">
        <v>334</v>
      </c>
    </row>
    <row r="413" spans="1:13" x14ac:dyDescent="0.25">
      <c r="A413" s="110">
        <v>169</v>
      </c>
      <c r="B413" s="101">
        <v>56101701</v>
      </c>
      <c r="C413" s="101">
        <v>50104</v>
      </c>
      <c r="D413" s="145" t="s">
        <v>315</v>
      </c>
      <c r="E413" s="101">
        <v>1</v>
      </c>
      <c r="F413" s="101" t="s">
        <v>24</v>
      </c>
      <c r="G413" s="146">
        <v>120000</v>
      </c>
      <c r="H413" s="101">
        <v>280</v>
      </c>
      <c r="I413" s="101" t="s">
        <v>334</v>
      </c>
    </row>
    <row r="414" spans="1:13" x14ac:dyDescent="0.25">
      <c r="A414" s="110">
        <v>169</v>
      </c>
      <c r="B414" s="101">
        <v>56101703</v>
      </c>
      <c r="C414" s="101">
        <v>50104</v>
      </c>
      <c r="D414" s="145" t="s">
        <v>316</v>
      </c>
      <c r="E414" s="101">
        <v>29</v>
      </c>
      <c r="F414" s="101" t="s">
        <v>24</v>
      </c>
      <c r="G414" s="146">
        <v>500000</v>
      </c>
      <c r="H414" s="101">
        <v>280</v>
      </c>
      <c r="I414" s="101" t="s">
        <v>334</v>
      </c>
    </row>
    <row r="415" spans="1:13" x14ac:dyDescent="0.25">
      <c r="A415" s="110">
        <v>169</v>
      </c>
      <c r="B415" s="101">
        <v>56101706</v>
      </c>
      <c r="C415" s="101">
        <v>50104</v>
      </c>
      <c r="D415" s="145" t="s">
        <v>317</v>
      </c>
      <c r="E415" s="101">
        <v>17</v>
      </c>
      <c r="F415" s="101" t="s">
        <v>24</v>
      </c>
      <c r="G415" s="146">
        <v>500000</v>
      </c>
      <c r="H415" s="101">
        <v>280</v>
      </c>
      <c r="I415" s="101" t="s">
        <v>334</v>
      </c>
    </row>
    <row r="416" spans="1:13" x14ac:dyDescent="0.25">
      <c r="A416" s="110">
        <v>169</v>
      </c>
      <c r="B416" s="101">
        <v>56101708</v>
      </c>
      <c r="C416" s="101">
        <v>50104</v>
      </c>
      <c r="D416" s="145" t="s">
        <v>318</v>
      </c>
      <c r="E416" s="101">
        <v>4</v>
      </c>
      <c r="F416" s="101" t="s">
        <v>24</v>
      </c>
      <c r="G416" s="146">
        <v>100000</v>
      </c>
      <c r="H416" s="101">
        <v>280</v>
      </c>
      <c r="I416" s="101" t="s">
        <v>334</v>
      </c>
    </row>
    <row r="417" spans="1:13" x14ac:dyDescent="0.25">
      <c r="A417" s="110">
        <v>169</v>
      </c>
      <c r="B417" s="101">
        <v>56101702</v>
      </c>
      <c r="C417" s="101">
        <v>50104</v>
      </c>
      <c r="D417" s="145" t="s">
        <v>319</v>
      </c>
      <c r="E417" s="101">
        <v>40</v>
      </c>
      <c r="F417" s="101" t="s">
        <v>24</v>
      </c>
      <c r="G417" s="146">
        <v>500000</v>
      </c>
      <c r="H417" s="101">
        <v>280</v>
      </c>
      <c r="I417" s="101" t="s">
        <v>335</v>
      </c>
    </row>
    <row r="418" spans="1:13" x14ac:dyDescent="0.25">
      <c r="A418" s="110">
        <v>169</v>
      </c>
      <c r="B418" s="101">
        <v>46171509</v>
      </c>
      <c r="C418" s="101">
        <v>50104</v>
      </c>
      <c r="D418" s="145" t="s">
        <v>320</v>
      </c>
      <c r="E418" s="101">
        <v>1</v>
      </c>
      <c r="F418" s="101" t="s">
        <v>24</v>
      </c>
      <c r="G418" s="146">
        <v>100000</v>
      </c>
      <c r="H418" s="101">
        <v>280</v>
      </c>
      <c r="I418" s="101" t="s">
        <v>335</v>
      </c>
    </row>
    <row r="419" spans="1:13" x14ac:dyDescent="0.25">
      <c r="A419" s="110">
        <v>169</v>
      </c>
      <c r="B419" s="101">
        <v>40101701</v>
      </c>
      <c r="C419" s="101">
        <v>50104</v>
      </c>
      <c r="D419" s="145" t="s">
        <v>304</v>
      </c>
      <c r="E419" s="101">
        <v>5</v>
      </c>
      <c r="F419" s="101" t="s">
        <v>321</v>
      </c>
      <c r="G419" s="146">
        <v>500000</v>
      </c>
      <c r="H419" s="101">
        <v>280</v>
      </c>
      <c r="I419" s="101" t="s">
        <v>335</v>
      </c>
    </row>
    <row r="420" spans="1:13" x14ac:dyDescent="0.25">
      <c r="A420" s="110">
        <v>169</v>
      </c>
      <c r="B420" s="101">
        <v>56101507</v>
      </c>
      <c r="C420" s="101">
        <v>50104</v>
      </c>
      <c r="D420" s="145" t="s">
        <v>322</v>
      </c>
      <c r="E420" s="101">
        <v>2</v>
      </c>
      <c r="F420" s="101" t="s">
        <v>24</v>
      </c>
      <c r="G420" s="146">
        <v>200000</v>
      </c>
      <c r="H420" s="101">
        <v>280</v>
      </c>
      <c r="I420" s="101" t="s">
        <v>335</v>
      </c>
    </row>
    <row r="421" spans="1:13" x14ac:dyDescent="0.25">
      <c r="A421" s="110">
        <v>169</v>
      </c>
      <c r="B421" s="101">
        <v>56101519</v>
      </c>
      <c r="C421" s="101">
        <v>50104</v>
      </c>
      <c r="D421" s="145" t="s">
        <v>310</v>
      </c>
      <c r="E421" s="101">
        <v>1</v>
      </c>
      <c r="F421" s="101" t="s">
        <v>24</v>
      </c>
      <c r="G421" s="146">
        <v>200000</v>
      </c>
      <c r="H421" s="101">
        <v>280</v>
      </c>
      <c r="I421" s="101" t="s">
        <v>335</v>
      </c>
    </row>
    <row r="422" spans="1:13" x14ac:dyDescent="0.25">
      <c r="A422" s="110">
        <v>169</v>
      </c>
      <c r="B422" s="101">
        <v>56101530</v>
      </c>
      <c r="C422" s="101">
        <v>50104</v>
      </c>
      <c r="D422" s="145" t="s">
        <v>323</v>
      </c>
      <c r="E422" s="101">
        <v>1</v>
      </c>
      <c r="F422" s="101" t="s">
        <v>76</v>
      </c>
      <c r="G422" s="146">
        <v>100000</v>
      </c>
      <c r="H422" s="101">
        <v>280</v>
      </c>
      <c r="I422" s="101" t="s">
        <v>335</v>
      </c>
    </row>
    <row r="423" spans="1:13" x14ac:dyDescent="0.25">
      <c r="A423" s="110">
        <v>169</v>
      </c>
      <c r="B423" s="101">
        <v>56101702</v>
      </c>
      <c r="C423" s="101">
        <v>50104</v>
      </c>
      <c r="D423" s="145" t="s">
        <v>324</v>
      </c>
      <c r="E423" s="101">
        <v>4</v>
      </c>
      <c r="F423" s="101" t="s">
        <v>24</v>
      </c>
      <c r="G423" s="146">
        <v>500000</v>
      </c>
      <c r="H423" s="101">
        <v>280</v>
      </c>
      <c r="I423" s="101" t="s">
        <v>335</v>
      </c>
    </row>
    <row r="424" spans="1:13" x14ac:dyDescent="0.25">
      <c r="A424" s="110">
        <v>169</v>
      </c>
      <c r="B424" s="101">
        <v>56101703</v>
      </c>
      <c r="C424" s="101">
        <v>50104</v>
      </c>
      <c r="D424" s="145" t="s">
        <v>316</v>
      </c>
      <c r="E424" s="101">
        <v>1</v>
      </c>
      <c r="F424" s="101" t="s">
        <v>24</v>
      </c>
      <c r="G424" s="146">
        <v>200000</v>
      </c>
      <c r="H424" s="101">
        <v>280</v>
      </c>
      <c r="I424" s="101" t="s">
        <v>335</v>
      </c>
      <c r="M424" s="82" t="s">
        <v>391</v>
      </c>
    </row>
    <row r="425" spans="1:13" x14ac:dyDescent="0.25">
      <c r="A425" s="106">
        <v>169</v>
      </c>
      <c r="B425" s="106"/>
      <c r="C425" s="121"/>
      <c r="D425" s="107" t="s">
        <v>325</v>
      </c>
      <c r="E425" s="106"/>
      <c r="F425" s="106"/>
      <c r="G425" s="114">
        <f>+SUBTOTAL(9,G426)</f>
        <v>10300000</v>
      </c>
      <c r="H425" s="106">
        <v>280</v>
      </c>
      <c r="I425" s="106"/>
    </row>
    <row r="426" spans="1:13" x14ac:dyDescent="0.25">
      <c r="A426" s="110">
        <v>169</v>
      </c>
      <c r="B426" s="101">
        <v>43222612</v>
      </c>
      <c r="C426" s="101">
        <v>50105</v>
      </c>
      <c r="D426" s="145" t="s">
        <v>326</v>
      </c>
      <c r="E426" s="101">
        <v>1</v>
      </c>
      <c r="F426" s="101" t="s">
        <v>24</v>
      </c>
      <c r="G426" s="146">
        <f>10000000+300000</f>
        <v>10300000</v>
      </c>
      <c r="H426" s="101">
        <v>280</v>
      </c>
      <c r="I426" s="101" t="s">
        <v>335</v>
      </c>
      <c r="M426" s="83" t="s">
        <v>391</v>
      </c>
    </row>
    <row r="427" spans="1:13" x14ac:dyDescent="0.25">
      <c r="A427" s="106">
        <v>169</v>
      </c>
      <c r="B427" s="106"/>
      <c r="C427" s="121"/>
      <c r="D427" s="107" t="s">
        <v>401</v>
      </c>
      <c r="E427" s="106"/>
      <c r="F427" s="106"/>
      <c r="G427" s="114">
        <f>+SUBTOTAL(9,G428)</f>
        <v>19000000</v>
      </c>
      <c r="H427" s="106">
        <v>280</v>
      </c>
      <c r="I427" s="106"/>
      <c r="M427" s="28" t="s">
        <v>407</v>
      </c>
    </row>
    <row r="428" spans="1:13" x14ac:dyDescent="0.25">
      <c r="A428" s="110">
        <v>169</v>
      </c>
      <c r="B428" s="110">
        <v>43231512</v>
      </c>
      <c r="C428" s="101">
        <v>59903</v>
      </c>
      <c r="D428" s="111" t="s">
        <v>402</v>
      </c>
      <c r="E428" s="101">
        <v>1</v>
      </c>
      <c r="F428" s="101" t="s">
        <v>24</v>
      </c>
      <c r="G428" s="146">
        <v>19000000</v>
      </c>
      <c r="H428" s="154" t="s">
        <v>19</v>
      </c>
      <c r="I428" s="101" t="s">
        <v>335</v>
      </c>
      <c r="M428" s="82"/>
    </row>
    <row r="429" spans="1:13" x14ac:dyDescent="0.25">
      <c r="A429" s="84"/>
      <c r="B429" s="84"/>
      <c r="C429" s="84"/>
      <c r="D429" s="85"/>
      <c r="E429" s="84"/>
      <c r="F429" s="84"/>
      <c r="G429" s="82"/>
      <c r="H429" s="86"/>
      <c r="I429" s="84"/>
    </row>
    <row r="430" spans="1:13" ht="15.75" thickBot="1" x14ac:dyDescent="0.3">
      <c r="A430" s="84"/>
      <c r="B430" s="84"/>
      <c r="C430" s="84"/>
      <c r="D430" s="87" t="s">
        <v>329</v>
      </c>
      <c r="E430" s="88"/>
      <c r="F430" s="88"/>
      <c r="G430" s="89">
        <f>+SUBTOTAL(9,G17:G428)</f>
        <v>1406291807</v>
      </c>
      <c r="H430" s="86"/>
      <c r="I430" s="84"/>
      <c r="M430" s="42"/>
    </row>
    <row r="431" spans="1:13" ht="15.75" thickTop="1" x14ac:dyDescent="0.25">
      <c r="I431" s="77"/>
    </row>
    <row r="433" spans="1:9" ht="28.5" customHeight="1" x14ac:dyDescent="0.25">
      <c r="A433" s="167" t="s">
        <v>416</v>
      </c>
      <c r="B433" s="167"/>
      <c r="C433" s="167"/>
      <c r="D433" s="167"/>
      <c r="E433" s="167"/>
      <c r="F433" s="167"/>
      <c r="G433" s="167"/>
      <c r="H433" s="167"/>
      <c r="I433" s="167"/>
    </row>
  </sheetData>
  <autoFilter ref="A16:M430"/>
  <mergeCells count="7">
    <mergeCell ref="A433:I433"/>
    <mergeCell ref="B3:D3"/>
    <mergeCell ref="A1:J1"/>
    <mergeCell ref="A2:J2"/>
    <mergeCell ref="B9:D9"/>
    <mergeCell ref="A7:J7"/>
    <mergeCell ref="A8:J8"/>
  </mergeCells>
  <pageMargins left="0.7" right="0.7" top="0.75" bottom="0.75" header="0.3" footer="0.3"/>
  <pageSetup orientation="portrait" r:id="rId1"/>
  <ignoredErrors>
    <ignoredError sqref="H429 H228:H250 H143:H225 H18:H24 H266:H333 H399:H426 H335:H397 H109:H140 H39:H107 H262:H264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'C:\Volumes\KINGSTON\2021\PLAN DE COMPRAS 2021\C:\Users\jcervantes\Documents\[Copia de PLAN DE COMPRAS RDCH 2020 FINAL.xlsx]Referencias'!#REF!</xm:f>
          </x14:formula1>
          <xm:sqref>I266 I233 I249 I302 I308 I231 I262</xm:sqref>
        </x14:dataValidation>
        <x14:dataValidation type="list" allowBlank="1" showInputMessage="1" showErrorMessage="1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I308</xm:sqref>
        </x14:dataValidation>
        <x14:dataValidation type="list" allowBlank="1" showInputMessage="1" showErrorMessage="1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I228 I196 I337 I425 I79 I136 I176 I185 I165 I171 I158 I163 I96 I156 I180 I48 I43 I81 I60 I55 I109 I143 I73 I122 I187 I127 I427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C1" sqref="C1"/>
    </sheetView>
  </sheetViews>
  <sheetFormatPr baseColWidth="10" defaultRowHeight="15" x14ac:dyDescent="0.25"/>
  <cols>
    <col min="3" max="3" width="27.85546875" customWidth="1"/>
    <col min="5" max="5" width="13.85546875" customWidth="1"/>
    <col min="6" max="6" width="11.7109375" customWidth="1"/>
    <col min="7" max="7" width="11.42578125" customWidth="1"/>
  </cols>
  <sheetData>
    <row r="1" spans="1:11" ht="36" x14ac:dyDescent="0.25">
      <c r="A1" s="50" t="s">
        <v>1</v>
      </c>
      <c r="B1" s="50" t="s">
        <v>2</v>
      </c>
      <c r="C1" s="50" t="s">
        <v>3</v>
      </c>
      <c r="D1" s="50" t="s">
        <v>4</v>
      </c>
      <c r="E1" s="50" t="s">
        <v>5</v>
      </c>
      <c r="F1" s="50" t="s">
        <v>368</v>
      </c>
      <c r="G1" s="50" t="s">
        <v>372</v>
      </c>
      <c r="H1" s="50" t="s">
        <v>367</v>
      </c>
      <c r="I1" s="50" t="s">
        <v>111</v>
      </c>
    </row>
    <row r="2" spans="1:11" x14ac:dyDescent="0.25">
      <c r="A2" s="58">
        <v>43231512</v>
      </c>
      <c r="B2" s="51">
        <v>59903</v>
      </c>
      <c r="C2" s="59" t="s">
        <v>402</v>
      </c>
      <c r="D2" s="51">
        <v>2</v>
      </c>
      <c r="E2" s="51" t="s">
        <v>55</v>
      </c>
      <c r="F2" s="56">
        <v>19000000</v>
      </c>
      <c r="G2" s="52"/>
      <c r="H2" s="53" t="s">
        <v>19</v>
      </c>
      <c r="I2" s="54" t="s">
        <v>334</v>
      </c>
      <c r="K2" t="s">
        <v>403</v>
      </c>
    </row>
    <row r="3" spans="1:11" x14ac:dyDescent="0.25">
      <c r="A3" s="67" t="s">
        <v>409</v>
      </c>
      <c r="B3" s="67">
        <v>60601</v>
      </c>
      <c r="C3" s="57" t="s">
        <v>408</v>
      </c>
      <c r="D3" s="67">
        <v>1</v>
      </c>
      <c r="E3" s="57" t="s">
        <v>410</v>
      </c>
      <c r="F3" s="57"/>
      <c r="G3" s="57">
        <v>19000000</v>
      </c>
      <c r="H3" s="68" t="s">
        <v>19</v>
      </c>
      <c r="I3" s="67" t="s">
        <v>335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111</v>
      </c>
    </row>
    <row r="6" spans="1:8" ht="25.5" x14ac:dyDescent="0.25">
      <c r="A6" s="10">
        <v>51473016</v>
      </c>
      <c r="B6" s="10">
        <v>20102</v>
      </c>
      <c r="C6" s="11" t="s">
        <v>109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113</v>
      </c>
    </row>
    <row r="7" spans="1:8" x14ac:dyDescent="0.25">
      <c r="A7" s="14">
        <v>43211806</v>
      </c>
      <c r="B7" s="14">
        <v>29901</v>
      </c>
      <c r="C7" s="15" t="s">
        <v>107</v>
      </c>
      <c r="D7" s="14">
        <v>15</v>
      </c>
      <c r="E7" s="16" t="s">
        <v>24</v>
      </c>
      <c r="F7" s="17">
        <v>160028</v>
      </c>
      <c r="G7" s="13" t="s">
        <v>112</v>
      </c>
      <c r="H7" s="16" t="s">
        <v>113</v>
      </c>
    </row>
    <row r="8" spans="1:8" x14ac:dyDescent="0.25">
      <c r="A8" s="14">
        <v>44111907</v>
      </c>
      <c r="B8" s="14">
        <v>29901</v>
      </c>
      <c r="C8" s="15" t="s">
        <v>106</v>
      </c>
      <c r="D8" s="14">
        <v>6</v>
      </c>
      <c r="E8" s="16" t="s">
        <v>24</v>
      </c>
      <c r="F8" s="17">
        <v>163522</v>
      </c>
      <c r="G8" s="13" t="s">
        <v>112</v>
      </c>
      <c r="H8" s="16" t="s">
        <v>113</v>
      </c>
    </row>
    <row r="9" spans="1:8" x14ac:dyDescent="0.25">
      <c r="A9" s="14">
        <v>43211802</v>
      </c>
      <c r="B9" s="14">
        <v>29901</v>
      </c>
      <c r="C9" s="15" t="s">
        <v>108</v>
      </c>
      <c r="D9" s="14">
        <v>15</v>
      </c>
      <c r="E9" s="16" t="s">
        <v>24</v>
      </c>
      <c r="F9" s="17">
        <v>35628</v>
      </c>
      <c r="G9" s="13" t="s">
        <v>112</v>
      </c>
      <c r="H9" s="16" t="s">
        <v>113</v>
      </c>
    </row>
    <row r="10" spans="1:8" x14ac:dyDescent="0.25">
      <c r="A10" s="14">
        <v>72153604</v>
      </c>
      <c r="B10" s="14">
        <v>29904</v>
      </c>
      <c r="C10" s="15" t="s">
        <v>110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113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114</v>
      </c>
      <c r="G14" s="4" t="s">
        <v>7</v>
      </c>
      <c r="H14" s="4" t="s">
        <v>111</v>
      </c>
    </row>
    <row r="15" spans="1:8" ht="45.75" x14ac:dyDescent="0.25">
      <c r="A15" s="19">
        <v>12352104</v>
      </c>
      <c r="B15" s="19">
        <v>20102</v>
      </c>
      <c r="C15" s="20" t="s">
        <v>45</v>
      </c>
      <c r="D15" s="5">
        <v>1</v>
      </c>
      <c r="E15" s="5" t="s">
        <v>24</v>
      </c>
      <c r="F15" s="7">
        <v>61000</v>
      </c>
      <c r="G15" s="6" t="s">
        <v>112</v>
      </c>
      <c r="H15" s="5" t="s">
        <v>115</v>
      </c>
    </row>
    <row r="16" spans="1:8" ht="23.25" x14ac:dyDescent="0.25">
      <c r="A16" s="24">
        <v>44121619</v>
      </c>
      <c r="B16" s="24">
        <v>29901</v>
      </c>
      <c r="C16" s="25" t="s">
        <v>102</v>
      </c>
      <c r="D16" s="21">
        <v>18</v>
      </c>
      <c r="E16" s="21" t="s">
        <v>24</v>
      </c>
      <c r="F16" s="22">
        <v>19178</v>
      </c>
      <c r="G16" s="6" t="s">
        <v>112</v>
      </c>
      <c r="H16" s="5" t="s">
        <v>115</v>
      </c>
    </row>
    <row r="17" spans="1:8" ht="45.75" x14ac:dyDescent="0.25">
      <c r="A17" s="24">
        <v>44122012</v>
      </c>
      <c r="B17" s="24">
        <v>29901</v>
      </c>
      <c r="C17" s="25" t="s">
        <v>103</v>
      </c>
      <c r="D17" s="21">
        <v>55</v>
      </c>
      <c r="E17" s="21" t="s">
        <v>24</v>
      </c>
      <c r="F17" s="22">
        <v>120000</v>
      </c>
      <c r="G17" s="6" t="s">
        <v>112</v>
      </c>
      <c r="H17" s="5" t="s">
        <v>115</v>
      </c>
    </row>
    <row r="18" spans="1:8" ht="57" x14ac:dyDescent="0.25">
      <c r="A18" s="24">
        <v>44122104</v>
      </c>
      <c r="B18" s="24">
        <v>29901</v>
      </c>
      <c r="C18" s="25" t="s">
        <v>77</v>
      </c>
      <c r="D18" s="21">
        <v>520</v>
      </c>
      <c r="E18" s="21" t="s">
        <v>24</v>
      </c>
      <c r="F18" s="22">
        <v>100000</v>
      </c>
      <c r="G18" s="6" t="s">
        <v>112</v>
      </c>
      <c r="H18" s="5" t="s">
        <v>115</v>
      </c>
    </row>
    <row r="19" spans="1:8" ht="45.75" x14ac:dyDescent="0.25">
      <c r="A19" s="24">
        <v>44122118</v>
      </c>
      <c r="B19" s="24">
        <v>29901</v>
      </c>
      <c r="C19" s="25" t="s">
        <v>61</v>
      </c>
      <c r="D19" s="21">
        <v>288</v>
      </c>
      <c r="E19" s="21" t="s">
        <v>53</v>
      </c>
      <c r="F19" s="22">
        <v>120000</v>
      </c>
      <c r="G19" s="6" t="s">
        <v>112</v>
      </c>
      <c r="H19" s="5" t="s">
        <v>115</v>
      </c>
    </row>
    <row r="20" spans="1:8" x14ac:dyDescent="0.25">
      <c r="A20" s="24">
        <v>30241704</v>
      </c>
      <c r="B20" s="24">
        <v>29904</v>
      </c>
      <c r="C20" s="26" t="s">
        <v>104</v>
      </c>
      <c r="D20" s="21">
        <v>1</v>
      </c>
      <c r="E20" s="21" t="s">
        <v>24</v>
      </c>
      <c r="F20" s="22">
        <v>1120500</v>
      </c>
      <c r="G20" s="6" t="s">
        <v>112</v>
      </c>
      <c r="H20" s="5" t="s">
        <v>115</v>
      </c>
    </row>
    <row r="21" spans="1:8" x14ac:dyDescent="0.25">
      <c r="F21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pane ySplit="1" topLeftCell="A29" activePane="bottomLeft" state="frozen"/>
      <selection pane="bottomLeft" activeCell="E46" sqref="E46"/>
    </sheetView>
  </sheetViews>
  <sheetFormatPr baseColWidth="10" defaultRowHeight="15" x14ac:dyDescent="0.25"/>
  <cols>
    <col min="1" max="1" width="16.85546875" bestFit="1" customWidth="1"/>
    <col min="2" max="2" width="70.5703125" bestFit="1" customWidth="1"/>
    <col min="3" max="5" width="16.85546875" style="60" bestFit="1" customWidth="1"/>
  </cols>
  <sheetData>
    <row r="1" spans="1:5" ht="30" x14ac:dyDescent="0.25">
      <c r="A1" s="66" t="s">
        <v>2</v>
      </c>
      <c r="B1" s="65" t="s">
        <v>411</v>
      </c>
      <c r="C1" s="65" t="s">
        <v>405</v>
      </c>
      <c r="D1" s="65" t="s">
        <v>404</v>
      </c>
      <c r="E1" s="65" t="s">
        <v>406</v>
      </c>
    </row>
    <row r="2" spans="1:5" x14ac:dyDescent="0.25">
      <c r="A2" s="38">
        <v>10102</v>
      </c>
      <c r="B2" s="71" t="str">
        <f>+VLOOKUP(A2,DescripPartidas!A:B,2,0)</f>
        <v>ALQUILER DE MAQUINARIA , EQUIPO Y MOBILIARIO</v>
      </c>
      <c r="C2" s="62">
        <f>+SUMIF(' PROGRAMA 16900'!$C$16:$C$428,A2,' PROGRAMA 16900'!$G$16:$G$428)</f>
        <v>13734000</v>
      </c>
      <c r="D2" s="62">
        <v>23734000</v>
      </c>
      <c r="E2" s="62">
        <f>+C2-D2</f>
        <v>-10000000</v>
      </c>
    </row>
    <row r="3" spans="1:5" x14ac:dyDescent="0.25">
      <c r="A3" s="35">
        <v>10103</v>
      </c>
      <c r="B3" s="71" t="str">
        <f>+VLOOKUP(A3,DescripPartidas!A:B,2,0)</f>
        <v>ALQUILER DE EQUIPO DE COMPUTO</v>
      </c>
      <c r="C3" s="63">
        <f>+SUMIF(' PROGRAMA 16900'!$C$16:$C$428,A3,' PROGRAMA 16900'!$G$16:$G$428)</f>
        <v>67000000</v>
      </c>
      <c r="D3" s="63">
        <v>67000000</v>
      </c>
      <c r="E3" s="62">
        <f t="shared" ref="E3:E43" si="0">+C3-D3</f>
        <v>0</v>
      </c>
    </row>
    <row r="4" spans="1:5" x14ac:dyDescent="0.25">
      <c r="A4" s="35">
        <v>10201</v>
      </c>
      <c r="B4" s="71" t="str">
        <f>+VLOOKUP(A4,DescripPartidas!A:B,2,0)</f>
        <v>SERVICIO DE AGUA Y ALCANTARILLADO</v>
      </c>
      <c r="C4" s="63">
        <f>+SUMIF(' PROGRAMA 16900'!$C$16:$C$428,A4,' PROGRAMA 16900'!$G$16:$G$428)</f>
        <v>163734000</v>
      </c>
      <c r="D4" s="63">
        <v>103734000</v>
      </c>
      <c r="E4" s="62">
        <f t="shared" si="0"/>
        <v>60000000</v>
      </c>
    </row>
    <row r="5" spans="1:5" x14ac:dyDescent="0.25">
      <c r="A5" s="35">
        <v>10202</v>
      </c>
      <c r="B5" s="71" t="str">
        <f>+VLOOKUP(A5,DescripPartidas!A:B,2,0)</f>
        <v>SERVICIO DE ENERGIA ELECTRICA</v>
      </c>
      <c r="C5" s="63">
        <f>+SUMIF(' PROGRAMA 16900'!$C$16:$C$428,A5,' PROGRAMA 16900'!$G$16:$G$428)</f>
        <v>111846000</v>
      </c>
      <c r="D5" s="63">
        <v>196846000</v>
      </c>
      <c r="E5" s="62">
        <f t="shared" si="0"/>
        <v>-85000000</v>
      </c>
    </row>
    <row r="6" spans="1:5" x14ac:dyDescent="0.25">
      <c r="A6" s="35">
        <v>10203</v>
      </c>
      <c r="B6" s="71" t="str">
        <f>+VLOOKUP(A6,DescripPartidas!A:B,2,0)</f>
        <v>SERVICIO DE CORREO</v>
      </c>
      <c r="C6" s="63">
        <f>+SUMIF(' PROGRAMA 16900'!$C$16:$C$428,A6,' PROGRAMA 16900'!$G$16:$G$428)</f>
        <v>4500000</v>
      </c>
      <c r="D6" s="63">
        <v>3000000</v>
      </c>
      <c r="E6" s="62">
        <f t="shared" si="0"/>
        <v>1500000</v>
      </c>
    </row>
    <row r="7" spans="1:5" x14ac:dyDescent="0.25">
      <c r="A7" s="35">
        <v>10204</v>
      </c>
      <c r="B7" s="71" t="str">
        <f>+VLOOKUP(A7,DescripPartidas!A:B,2,0)</f>
        <v>SERVICIO DE TELECOMUNICACIONES</v>
      </c>
      <c r="C7" s="63">
        <f>+SUMIF(' PROGRAMA 16900'!$C$16:$C$428,A7,' PROGRAMA 16900'!$G$16:$G$428)</f>
        <v>357000000</v>
      </c>
      <c r="D7" s="63">
        <v>420000000</v>
      </c>
      <c r="E7" s="62">
        <f t="shared" si="0"/>
        <v>-63000000</v>
      </c>
    </row>
    <row r="8" spans="1:5" x14ac:dyDescent="0.25">
      <c r="A8" s="35">
        <v>10299</v>
      </c>
      <c r="B8" s="71" t="str">
        <f>+VLOOKUP(A8,DescripPartidas!A:B,2,0)</f>
        <v>OTROS SERVICIOS BASICOS</v>
      </c>
      <c r="C8" s="63">
        <f>+SUMIF(' PROGRAMA 16900'!$C$16:$C$428,A8,' PROGRAMA 16900'!$G$16:$G$428)</f>
        <v>14410000</v>
      </c>
      <c r="D8" s="63">
        <v>7910000</v>
      </c>
      <c r="E8" s="62">
        <f t="shared" si="0"/>
        <v>6500000</v>
      </c>
    </row>
    <row r="9" spans="1:5" x14ac:dyDescent="0.25">
      <c r="A9" s="35">
        <v>10301</v>
      </c>
      <c r="B9" s="71" t="str">
        <f>+VLOOKUP(A9,DescripPartidas!A:B,2,0)</f>
        <v xml:space="preserve">INFORMACION </v>
      </c>
      <c r="C9" s="63">
        <f>+SUMIF(' PROGRAMA 16900'!$C$16:$C$428,A9,' PROGRAMA 16900'!$G$16:$G$428)</f>
        <v>5500000</v>
      </c>
      <c r="D9" s="63">
        <v>5500000</v>
      </c>
      <c r="E9" s="62">
        <f t="shared" si="0"/>
        <v>0</v>
      </c>
    </row>
    <row r="10" spans="1:5" x14ac:dyDescent="0.25">
      <c r="A10" s="35">
        <v>10304</v>
      </c>
      <c r="B10" s="71" t="str">
        <f>+VLOOKUP(A10,DescripPartidas!A:B,2,0)</f>
        <v>TRANSPORTE DE BIENES</v>
      </c>
      <c r="C10" s="63">
        <f>+SUMIF(' PROGRAMA 16900'!$C$16:$C$428,A10,' PROGRAMA 16900'!$G$16:$G$428)</f>
        <v>62500</v>
      </c>
      <c r="D10" s="63">
        <v>62500</v>
      </c>
      <c r="E10" s="62">
        <f t="shared" si="0"/>
        <v>0</v>
      </c>
    </row>
    <row r="11" spans="1:5" x14ac:dyDescent="0.25">
      <c r="A11" s="35">
        <v>10306</v>
      </c>
      <c r="B11" s="71" t="str">
        <f>+VLOOKUP(A11,DescripPartidas!A:B,2,0)</f>
        <v>COMISIONES Y GASTOS POR SERVICIOS FINANCIEROS Y COMERCIALES</v>
      </c>
      <c r="C11" s="63">
        <f>+SUMIF(' PROGRAMA 16900'!$C$16:$C$428,A11,' PROGRAMA 16900'!$G$16:$G$428)</f>
        <v>300000</v>
      </c>
      <c r="D11" s="63">
        <v>1000000</v>
      </c>
      <c r="E11" s="62">
        <f t="shared" si="0"/>
        <v>-700000</v>
      </c>
    </row>
    <row r="12" spans="1:5" x14ac:dyDescent="0.25">
      <c r="A12" s="35">
        <v>10307</v>
      </c>
      <c r="B12" s="71" t="str">
        <f>+VLOOKUP(A12,DescripPartidas!A:B,2,0)</f>
        <v>SERVICIOS DE TECNOLOGIAS DE INFORMACION</v>
      </c>
      <c r="C12" s="63">
        <f>+SUMIF(' PROGRAMA 16900'!$C$16:$C$428,A12,' PROGRAMA 16900'!$G$16:$G$428)</f>
        <v>85000000</v>
      </c>
      <c r="D12" s="63">
        <v>85000000</v>
      </c>
      <c r="E12" s="62">
        <f t="shared" si="0"/>
        <v>0</v>
      </c>
    </row>
    <row r="13" spans="1:5" x14ac:dyDescent="0.25">
      <c r="A13" s="35">
        <v>10406</v>
      </c>
      <c r="B13" s="71" t="str">
        <f>+VLOOKUP(A13,DescripPartidas!A:B,2,0)</f>
        <v>SERVICIOS GENERALES</v>
      </c>
      <c r="C13" s="63">
        <f>+SUMIF(' PROGRAMA 16900'!$C$16:$C$428,A13,' PROGRAMA 16900'!$G$16:$G$428)</f>
        <v>77321126</v>
      </c>
      <c r="D13" s="63">
        <v>89321126</v>
      </c>
      <c r="E13" s="62">
        <f t="shared" si="0"/>
        <v>-12000000</v>
      </c>
    </row>
    <row r="14" spans="1:5" x14ac:dyDescent="0.25">
      <c r="A14" s="35">
        <v>10499</v>
      </c>
      <c r="B14" s="71" t="str">
        <f>+VLOOKUP(A14,DescripPartidas!A:B,2,0)</f>
        <v>OTROS SERVICIOS DE GESTION Y APOYO</v>
      </c>
      <c r="C14" s="63">
        <f>+SUMIF(' PROGRAMA 16900'!$C$16:$C$428,A14,' PROGRAMA 16900'!$G$16:$G$428)</f>
        <v>2500000</v>
      </c>
      <c r="D14" s="63">
        <v>2000000</v>
      </c>
      <c r="E14" s="62">
        <f t="shared" si="0"/>
        <v>500000</v>
      </c>
    </row>
    <row r="15" spans="1:5" x14ac:dyDescent="0.25">
      <c r="A15" s="35">
        <v>10501</v>
      </c>
      <c r="B15" s="71" t="str">
        <f>+VLOOKUP(A15,DescripPartidas!A:B,2,0)</f>
        <v>TRANSPORTE DENTRO DEL PAIS</v>
      </c>
      <c r="C15" s="63">
        <f>+SUMIF(' PROGRAMA 16900'!$C$16:$C$428,A15,' PROGRAMA 16900'!$G$16:$G$428)</f>
        <v>1605380</v>
      </c>
      <c r="D15" s="63">
        <v>805380</v>
      </c>
      <c r="E15" s="62">
        <f t="shared" si="0"/>
        <v>800000</v>
      </c>
    </row>
    <row r="16" spans="1:5" x14ac:dyDescent="0.25">
      <c r="A16" s="35">
        <v>10502</v>
      </c>
      <c r="B16" s="71" t="str">
        <f>+VLOOKUP(A16,DescripPartidas!A:B,2,0)</f>
        <v>VIATICOS DENTRO DEL PAIS</v>
      </c>
      <c r="C16" s="63">
        <f>+SUMIF(' PROGRAMA 16900'!$C$16:$C$428,A16,' PROGRAMA 16900'!$G$16:$G$428)</f>
        <v>16973091</v>
      </c>
      <c r="D16" s="63">
        <v>16973091</v>
      </c>
      <c r="E16" s="62">
        <f t="shared" si="0"/>
        <v>0</v>
      </c>
    </row>
    <row r="17" spans="1:5" x14ac:dyDescent="0.25">
      <c r="A17" s="37">
        <v>10601</v>
      </c>
      <c r="B17" s="71" t="str">
        <f>+VLOOKUP(A17,DescripPartidas!A:B,2,0)</f>
        <v>SEGUROS</v>
      </c>
      <c r="C17" s="63">
        <f>+SUMIF(' PROGRAMA 16900'!$C$16:$C$428,A17,' PROGRAMA 16900'!$G$16:$G$428)</f>
        <v>306961699</v>
      </c>
      <c r="D17" s="63">
        <v>224961699</v>
      </c>
      <c r="E17" s="62">
        <f t="shared" si="0"/>
        <v>82000000</v>
      </c>
    </row>
    <row r="18" spans="1:5" x14ac:dyDescent="0.25">
      <c r="A18" s="37">
        <v>10701</v>
      </c>
      <c r="B18" s="71" t="str">
        <f>+VLOOKUP(A18,DescripPartidas!A:B,2,0)</f>
        <v>CAPACITACION Y PROTOCOLO</v>
      </c>
      <c r="C18" s="63">
        <f>+SUMIF(' PROGRAMA 16900'!$C$16:$C$428,A18,' PROGRAMA 16900'!$G$16:$G$428)</f>
        <v>4000000</v>
      </c>
      <c r="D18" s="63">
        <v>0</v>
      </c>
      <c r="E18" s="62">
        <f t="shared" si="0"/>
        <v>4000000</v>
      </c>
    </row>
    <row r="19" spans="1:5" x14ac:dyDescent="0.25">
      <c r="A19" s="37">
        <v>10801</v>
      </c>
      <c r="B19" s="71" t="str">
        <f>+VLOOKUP(A19,DescripPartidas!A:B,2,0)</f>
        <v>MANTENIMIENTO DE EDIFICIOS Y LOCALES</v>
      </c>
      <c r="C19" s="63">
        <f>+SUMIF(' PROGRAMA 16900'!$C$16:$C$428,A19,' PROGRAMA 16900'!$G$16:$G$428)</f>
        <v>24000000</v>
      </c>
      <c r="D19" s="63">
        <v>24000000</v>
      </c>
      <c r="E19" s="62">
        <f t="shared" si="0"/>
        <v>0</v>
      </c>
    </row>
    <row r="20" spans="1:5" x14ac:dyDescent="0.25">
      <c r="A20" s="37">
        <v>10804</v>
      </c>
      <c r="B20" s="71" t="str">
        <f>+VLOOKUP(A20,DescripPartidas!A:B,2,0)</f>
        <v>MANTENIMIENTO Y REPARACION DE MAQUINARIA Y EQUIPO DE PRODUCCION</v>
      </c>
      <c r="C20" s="63">
        <f>+SUMIF(' PROGRAMA 16900'!$C$16:$C$428,A20,' PROGRAMA 16900'!$G$16:$G$428)</f>
        <v>1500000</v>
      </c>
      <c r="D20" s="63">
        <v>1500000</v>
      </c>
      <c r="E20" s="62">
        <f t="shared" si="0"/>
        <v>0</v>
      </c>
    </row>
    <row r="21" spans="1:5" x14ac:dyDescent="0.25">
      <c r="A21" s="37">
        <v>10805</v>
      </c>
      <c r="B21" s="71" t="str">
        <f>+VLOOKUP(A21,DescripPartidas!A:B,2,0)</f>
        <v>MANTENIMIENTO Y REPARACION DE EQUIPO DE TRANSPORTE</v>
      </c>
      <c r="C21" s="63">
        <f>+SUMIF(' PROGRAMA 16900'!$C$16:$C$428,A21,' PROGRAMA 16900'!$G$16:$G$428)</f>
        <v>14519852</v>
      </c>
      <c r="D21" s="63">
        <v>14519852</v>
      </c>
      <c r="E21" s="62">
        <f t="shared" si="0"/>
        <v>0</v>
      </c>
    </row>
    <row r="22" spans="1:5" x14ac:dyDescent="0.25">
      <c r="A22" s="37">
        <v>10806</v>
      </c>
      <c r="B22" s="71" t="str">
        <f>+VLOOKUP(A22,DescripPartidas!A:B,2,0)</f>
        <v>MANTENIMIENTO Y REPARACIÓN DE EQUIPO DE COMUNICACIÓN</v>
      </c>
      <c r="C22" s="63">
        <f>+SUMIF(' PROGRAMA 16900'!$C$16:$C$428,A22,' PROGRAMA 16900'!$G$16:$G$428)</f>
        <v>3500000</v>
      </c>
      <c r="D22" s="63">
        <v>2500000</v>
      </c>
      <c r="E22" s="62">
        <f t="shared" si="0"/>
        <v>1000000</v>
      </c>
    </row>
    <row r="23" spans="1:5" x14ac:dyDescent="0.25">
      <c r="A23" s="37">
        <v>10807</v>
      </c>
      <c r="B23" s="71" t="str">
        <f>+VLOOKUP(A23,DescripPartidas!A:B,2,0)</f>
        <v xml:space="preserve">MANTENIMIENTO Y REPARACIÓN DE EQUIPO Y MOBILIARIO DE OFICINA </v>
      </c>
      <c r="C23" s="63">
        <f>+SUMIF(' PROGRAMA 16900'!$C$16:$C$428,A23,' PROGRAMA 16900'!$G$16:$G$428)</f>
        <v>2000000</v>
      </c>
      <c r="D23" s="63">
        <v>2000000</v>
      </c>
      <c r="E23" s="62">
        <f t="shared" si="0"/>
        <v>0</v>
      </c>
    </row>
    <row r="24" spans="1:5" x14ac:dyDescent="0.25">
      <c r="A24" s="37">
        <v>10808</v>
      </c>
      <c r="B24" s="71" t="str">
        <f>+VLOOKUP(A24,DescripPartidas!A:B,2,0)</f>
        <v>MANTENIMIENTO Y REPARACION DE EQUIPO DE COMPUTO Y SISTEMAS</v>
      </c>
      <c r="C24" s="63">
        <f>+SUMIF(' PROGRAMA 16900'!$C$16:$C$428,A24,' PROGRAMA 16900'!$G$16:$G$428)</f>
        <v>25000000</v>
      </c>
      <c r="D24" s="63">
        <v>25000000</v>
      </c>
      <c r="E24" s="62">
        <f t="shared" si="0"/>
        <v>0</v>
      </c>
    </row>
    <row r="25" spans="1:5" x14ac:dyDescent="0.25">
      <c r="A25" s="37">
        <v>19902</v>
      </c>
      <c r="B25" s="71" t="str">
        <f>+VLOOKUP(A25,DescripPartidas!A:B,2,0)</f>
        <v>INTERESES MORATORIOS Y MULTAS</v>
      </c>
      <c r="C25" s="63">
        <f>+SUMIF(' PROGRAMA 16900'!$C$16:$C$428,A25,' PROGRAMA 16900'!$G$16:$G$428)</f>
        <v>700000</v>
      </c>
      <c r="D25" s="63">
        <v>700000</v>
      </c>
      <c r="E25" s="62">
        <f t="shared" si="0"/>
        <v>0</v>
      </c>
    </row>
    <row r="26" spans="1:5" x14ac:dyDescent="0.25">
      <c r="A26" s="37">
        <v>19905</v>
      </c>
      <c r="B26" s="71" t="str">
        <f>+VLOOKUP(A26,DescripPartidas!A:B,2,0)</f>
        <v>DEDUCIBLES</v>
      </c>
      <c r="C26" s="63">
        <f>+SUMIF(' PROGRAMA 16900'!$C$16:$C$428,A26,' PROGRAMA 16900'!$G$16:$G$428)</f>
        <v>7625000</v>
      </c>
      <c r="D26" s="63">
        <v>7625000</v>
      </c>
      <c r="E26" s="62">
        <f t="shared" si="0"/>
        <v>0</v>
      </c>
    </row>
    <row r="27" spans="1:5" x14ac:dyDescent="0.25">
      <c r="A27" s="37">
        <v>19999</v>
      </c>
      <c r="B27" s="71" t="str">
        <f>+VLOOKUP(A27,DescripPartidas!A:B,2,0)</f>
        <v>OTROS SERVICIOS NO ESPECIFICOS</v>
      </c>
      <c r="C27" s="63">
        <f>+SUMIF(' PROGRAMA 16900'!$C$16:$C$428,A27,' PROGRAMA 16900'!$G$16:$G$428)</f>
        <v>285780</v>
      </c>
      <c r="D27" s="63">
        <v>285780</v>
      </c>
      <c r="E27" s="62">
        <f t="shared" si="0"/>
        <v>0</v>
      </c>
    </row>
    <row r="28" spans="1:5" x14ac:dyDescent="0.25">
      <c r="A28" s="37">
        <v>20101</v>
      </c>
      <c r="B28" s="71" t="str">
        <f>+VLOOKUP(A28,DescripPartidas!A:B,2,0)</f>
        <v>COMBUSTIBLE Y LUBRICANTES</v>
      </c>
      <c r="C28" s="63">
        <f>+SUMIF(' PROGRAMA 16900'!$C$16:$C$428,A28,' PROGRAMA 16900'!$G$16:$G$428)</f>
        <v>14774400</v>
      </c>
      <c r="D28" s="63">
        <v>7274400</v>
      </c>
      <c r="E28" s="62">
        <f t="shared" si="0"/>
        <v>7500000</v>
      </c>
    </row>
    <row r="29" spans="1:5" x14ac:dyDescent="0.25">
      <c r="A29" s="37">
        <v>20102</v>
      </c>
      <c r="B29" s="71" t="str">
        <f>+VLOOKUP(A29,DescripPartidas!A:B,2,0)</f>
        <v>PRODUCTOS FARMACEUTICOS Y MEDICINALES</v>
      </c>
      <c r="C29" s="63">
        <f>+SUMIF(' PROGRAMA 16900'!$C$16:$C$428,A29,' PROGRAMA 16900'!$G$16:$G$428)</f>
        <v>2775000</v>
      </c>
      <c r="D29" s="63">
        <v>2775000</v>
      </c>
      <c r="E29" s="62">
        <f t="shared" si="0"/>
        <v>0</v>
      </c>
    </row>
    <row r="30" spans="1:5" x14ac:dyDescent="0.25">
      <c r="A30" s="37">
        <v>20104</v>
      </c>
      <c r="B30" s="71" t="str">
        <f>+VLOOKUP(A30,DescripPartidas!A:B,2,0)</f>
        <v>TINTAS, PINTURAS Y DILUYENTES</v>
      </c>
      <c r="C30" s="63">
        <f>+SUMIF(' PROGRAMA 16900'!$C$16:$C$428,A30,' PROGRAMA 16900'!$G$16:$G$428)</f>
        <v>1500000</v>
      </c>
      <c r="D30" s="63">
        <v>1500000</v>
      </c>
      <c r="E30" s="62">
        <f t="shared" si="0"/>
        <v>0</v>
      </c>
    </row>
    <row r="31" spans="1:5" x14ac:dyDescent="0.25">
      <c r="A31" s="37">
        <v>20203</v>
      </c>
      <c r="B31" s="71" t="str">
        <f>+VLOOKUP(A31,DescripPartidas!A:B,2,0)</f>
        <v>ALIMENTOS Y BEBIDAS</v>
      </c>
      <c r="C31" s="63">
        <f>+SUMIF(' PROGRAMA 16900'!$C$16:$C$428,A31,' PROGRAMA 16900'!$G$16:$G$428)</f>
        <v>932143</v>
      </c>
      <c r="D31" s="63">
        <v>332143</v>
      </c>
      <c r="E31" s="62">
        <f t="shared" si="0"/>
        <v>600000</v>
      </c>
    </row>
    <row r="32" spans="1:5" x14ac:dyDescent="0.25">
      <c r="A32" s="37">
        <v>20304</v>
      </c>
      <c r="B32" s="71" t="str">
        <f>+VLOOKUP(A32,DescripPartidas!A:B,2,0)</f>
        <v>MATERIALES Y PRODUCTOS ELECTRICOS, TELEFONICOS Y DE COMPUTO</v>
      </c>
      <c r="C32" s="63">
        <f>+SUMIF(' PROGRAMA 16900'!$C$16:$C$428,A32,' PROGRAMA 16900'!$G$16:$G$428)</f>
        <v>2000000</v>
      </c>
      <c r="D32" s="63">
        <v>2000000</v>
      </c>
      <c r="E32" s="62">
        <f t="shared" si="0"/>
        <v>0</v>
      </c>
    </row>
    <row r="33" spans="1:5" x14ac:dyDescent="0.25">
      <c r="A33" s="37">
        <v>20401</v>
      </c>
      <c r="B33" s="71" t="str">
        <f>+VLOOKUP(A33,DescripPartidas!A:B,2,0)</f>
        <v>HERRAMIENTAS E INSTRUMENTOS</v>
      </c>
      <c r="C33" s="63">
        <f>+SUMIF(' PROGRAMA 16900'!$C$16:$C$428,A33,' PROGRAMA 16900'!$G$16:$G$428)</f>
        <v>1500000</v>
      </c>
      <c r="D33" s="63">
        <v>1500000</v>
      </c>
      <c r="E33" s="62">
        <f t="shared" si="0"/>
        <v>0</v>
      </c>
    </row>
    <row r="34" spans="1:5" x14ac:dyDescent="0.25">
      <c r="A34" s="37">
        <v>20402</v>
      </c>
      <c r="B34" s="71" t="str">
        <f>+VLOOKUP(A34,DescripPartidas!A:B,2,0)</f>
        <v>REPUESTOS Y ACCESORIOS</v>
      </c>
      <c r="C34" s="63">
        <f>+SUMIF(' PROGRAMA 16900'!$C$16:$C$428,A34,' PROGRAMA 16900'!$G$16:$G$428)</f>
        <v>1039200</v>
      </c>
      <c r="D34" s="63">
        <v>1039200</v>
      </c>
      <c r="E34" s="62">
        <f t="shared" si="0"/>
        <v>0</v>
      </c>
    </row>
    <row r="35" spans="1:5" x14ac:dyDescent="0.25">
      <c r="A35" s="37">
        <v>29901</v>
      </c>
      <c r="B35" s="71" t="str">
        <f>+VLOOKUP(A35,DescripPartidas!A:B,2,0)</f>
        <v>UTILES Y MATERIALES DE OFICINA Y COMPUTO</v>
      </c>
      <c r="C35" s="63">
        <f>+SUMIF(' PROGRAMA 16900'!$C$16:$C$428,A35,' PROGRAMA 16900'!$G$16:$G$428)</f>
        <v>1924888</v>
      </c>
      <c r="D35" s="63">
        <v>924888</v>
      </c>
      <c r="E35" s="62">
        <f t="shared" si="0"/>
        <v>1000000</v>
      </c>
    </row>
    <row r="36" spans="1:5" x14ac:dyDescent="0.25">
      <c r="A36" s="37">
        <v>29902</v>
      </c>
      <c r="B36" s="71" t="str">
        <f>+VLOOKUP(A36,DescripPartidas!A:B,2,0)</f>
        <v>UTILES Y MATERIALES MEDICOS , HOSPITALARIOS Y DE INVESTIGACION</v>
      </c>
      <c r="C36" s="63">
        <f>+SUMIF(' PROGRAMA 16900'!$C$16:$C$428,A36,' PROGRAMA 16900'!$G$16:$G$428)</f>
        <v>2008948</v>
      </c>
      <c r="D36" s="63">
        <v>2008948</v>
      </c>
      <c r="E36" s="62">
        <f t="shared" si="0"/>
        <v>0</v>
      </c>
    </row>
    <row r="37" spans="1:5" x14ac:dyDescent="0.25">
      <c r="A37" s="37">
        <v>29903</v>
      </c>
      <c r="B37" s="71" t="str">
        <f>+VLOOKUP(A37,DescripPartidas!A:B,2,0)</f>
        <v>PRODUCTOS DE PAPEL, CARTON E IMPRESOS</v>
      </c>
      <c r="C37" s="63">
        <f>+SUMIF(' PROGRAMA 16900'!$C$16:$C$428,A37,' PROGRAMA 16900'!$G$16:$G$428)</f>
        <v>1558800</v>
      </c>
      <c r="D37" s="63">
        <v>1558800</v>
      </c>
      <c r="E37" s="62">
        <f t="shared" si="0"/>
        <v>0</v>
      </c>
    </row>
    <row r="38" spans="1:5" x14ac:dyDescent="0.25">
      <c r="A38" s="37">
        <v>29905</v>
      </c>
      <c r="B38" s="71" t="str">
        <f>+VLOOKUP(A38,DescripPartidas!A:B,2,0)</f>
        <v>UTILES Y MATERIALES DE LIMPIEZA</v>
      </c>
      <c r="C38" s="63">
        <f>+SUMIF(' PROGRAMA 16900'!$C$16:$C$428,A38,' PROGRAMA 16900'!$G$16:$G$428)</f>
        <v>5000000</v>
      </c>
      <c r="D38" s="63">
        <v>5000000</v>
      </c>
      <c r="E38" s="62">
        <f t="shared" si="0"/>
        <v>0</v>
      </c>
    </row>
    <row r="39" spans="1:5" x14ac:dyDescent="0.25">
      <c r="A39" s="55">
        <v>29999</v>
      </c>
      <c r="B39" s="71" t="str">
        <f>+VLOOKUP(A39,DescripPartidas!A:B,2,0)</f>
        <v>OTROS UTILES MATERIALES Y SUMINISTROS DIVERSOS</v>
      </c>
      <c r="C39" s="64">
        <f>+SUMIF(' PROGRAMA 16900'!$C$16:$C$428,A39,' PROGRAMA 16900'!$G$16:$G$428)</f>
        <v>600000</v>
      </c>
      <c r="D39" s="64">
        <v>100000</v>
      </c>
      <c r="E39" s="62">
        <f t="shared" si="0"/>
        <v>500000</v>
      </c>
    </row>
    <row r="40" spans="1:5" x14ac:dyDescent="0.25">
      <c r="A40" s="61">
        <v>50103</v>
      </c>
      <c r="B40" s="71" t="str">
        <f>+VLOOKUP(A40,DescripPartidas!A:B,2,0)</f>
        <v>EQUIPO DE COMUNICACION</v>
      </c>
      <c r="C40" s="63">
        <f>+SUMIF(' PROGRAMA 16900'!$C$16:$C$428,A40,' PROGRAMA 16900'!$G$16:$G$428)</f>
        <v>7000000</v>
      </c>
      <c r="D40" s="63">
        <v>7000000</v>
      </c>
      <c r="E40" s="62">
        <f t="shared" si="0"/>
        <v>0</v>
      </c>
    </row>
    <row r="41" spans="1:5" x14ac:dyDescent="0.25">
      <c r="A41" s="61">
        <v>50104</v>
      </c>
      <c r="B41" s="71" t="str">
        <f>+VLOOKUP(A41,DescripPartidas!A:B,2,0)</f>
        <v>EQUIPO Y MOBILIARIO DE OFICINA</v>
      </c>
      <c r="C41" s="63">
        <f>+SUMIF(' PROGRAMA 16900'!$C$16:$C$428,A41,' PROGRAMA 16900'!$G$16:$G$428)</f>
        <v>22800000</v>
      </c>
      <c r="D41" s="63">
        <v>7000000</v>
      </c>
      <c r="E41" s="62">
        <f t="shared" si="0"/>
        <v>15800000</v>
      </c>
    </row>
    <row r="42" spans="1:5" x14ac:dyDescent="0.25">
      <c r="A42" s="37">
        <v>50105</v>
      </c>
      <c r="B42" s="71" t="str">
        <f>+VLOOKUP(A42,DescripPartidas!A:B,2,0)</f>
        <v>EQUIPO DE COMPUTO</v>
      </c>
      <c r="C42" s="63">
        <f>+SUMIF(' PROGRAMA 16900'!$C$16:$C$428,A42,' PROGRAMA 16900'!$G$16:$G$428)</f>
        <v>10300000</v>
      </c>
      <c r="D42" s="63">
        <v>10000000</v>
      </c>
      <c r="E42" s="62">
        <f t="shared" si="0"/>
        <v>300000</v>
      </c>
    </row>
    <row r="43" spans="1:5" x14ac:dyDescent="0.25">
      <c r="A43" s="61">
        <v>59903</v>
      </c>
      <c r="B43" s="71" t="str">
        <f>+VLOOKUP(A43,DescripPartidas!A:B,2,0)</f>
        <v>BIENES INTANGIBLES</v>
      </c>
      <c r="C43" s="63">
        <f>+SUMIF(' PROGRAMA 16900'!$C$16:$C$428,A43,' PROGRAMA 16900'!$G$16:$G$428)</f>
        <v>19000000</v>
      </c>
      <c r="D43" s="63">
        <v>0</v>
      </c>
      <c r="E43" s="62">
        <f t="shared" si="0"/>
        <v>19000000</v>
      </c>
    </row>
    <row r="44" spans="1:5" x14ac:dyDescent="0.25">
      <c r="A44" s="76"/>
      <c r="B44" s="74"/>
      <c r="C44" s="69">
        <f>SUM(C2:C43)</f>
        <v>1406291807</v>
      </c>
      <c r="D44" s="69">
        <f>SUM(D2:D43)</f>
        <v>1375991807</v>
      </c>
      <c r="E44" s="69">
        <f>SUM(E2:E43)</f>
        <v>30300000</v>
      </c>
    </row>
  </sheetData>
  <autoFilter ref="A1:E44"/>
  <sortState ref="A3:E43">
    <sortCondition ref="A2:A43"/>
  </sortState>
  <conditionalFormatting sqref="E2:E44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pane ySplit="1" topLeftCell="A25" activePane="bottomLeft" state="frozen"/>
      <selection pane="bottomLeft" activeCell="B62" sqref="B62"/>
    </sheetView>
  </sheetViews>
  <sheetFormatPr baseColWidth="10" defaultRowHeight="15" x14ac:dyDescent="0.25"/>
  <cols>
    <col min="1" max="1" width="12.85546875" bestFit="1" customWidth="1"/>
    <col min="2" max="2" width="71.7109375" bestFit="1" customWidth="1"/>
  </cols>
  <sheetData>
    <row r="1" spans="1:2" x14ac:dyDescent="0.25">
      <c r="A1" s="73" t="s">
        <v>412</v>
      </c>
      <c r="B1" s="73" t="s">
        <v>3</v>
      </c>
    </row>
    <row r="2" spans="1:2" x14ac:dyDescent="0.25">
      <c r="A2" s="74">
        <v>10102</v>
      </c>
      <c r="B2" s="74" t="s">
        <v>143</v>
      </c>
    </row>
    <row r="3" spans="1:2" x14ac:dyDescent="0.25">
      <c r="A3" s="75">
        <v>10103</v>
      </c>
      <c r="B3" s="32" t="s">
        <v>21</v>
      </c>
    </row>
    <row r="4" spans="1:2" x14ac:dyDescent="0.25">
      <c r="A4" s="75">
        <v>10201</v>
      </c>
      <c r="B4" s="32" t="s">
        <v>145</v>
      </c>
    </row>
    <row r="5" spans="1:2" x14ac:dyDescent="0.25">
      <c r="A5" s="75">
        <v>10202</v>
      </c>
      <c r="B5" s="32" t="s">
        <v>146</v>
      </c>
    </row>
    <row r="6" spans="1:2" x14ac:dyDescent="0.25">
      <c r="A6" s="75">
        <v>10203</v>
      </c>
      <c r="B6" s="32" t="s">
        <v>247</v>
      </c>
    </row>
    <row r="7" spans="1:2" x14ac:dyDescent="0.25">
      <c r="A7" s="75">
        <v>10204</v>
      </c>
      <c r="B7" s="32" t="s">
        <v>147</v>
      </c>
    </row>
    <row r="8" spans="1:2" x14ac:dyDescent="0.25">
      <c r="A8" s="75">
        <v>10299</v>
      </c>
      <c r="B8" s="32" t="s">
        <v>148</v>
      </c>
    </row>
    <row r="9" spans="1:2" x14ac:dyDescent="0.25">
      <c r="A9" s="75">
        <v>10301</v>
      </c>
      <c r="B9" s="32" t="s">
        <v>152</v>
      </c>
    </row>
    <row r="10" spans="1:2" x14ac:dyDescent="0.25">
      <c r="A10" s="75">
        <v>10304</v>
      </c>
      <c r="B10" s="32" t="s">
        <v>158</v>
      </c>
    </row>
    <row r="11" spans="1:2" x14ac:dyDescent="0.25">
      <c r="A11" s="75">
        <v>10306</v>
      </c>
      <c r="B11" s="32" t="s">
        <v>160</v>
      </c>
    </row>
    <row r="12" spans="1:2" x14ac:dyDescent="0.25">
      <c r="A12" s="75">
        <v>10307</v>
      </c>
      <c r="B12" s="32" t="s">
        <v>162</v>
      </c>
    </row>
    <row r="13" spans="1:2" x14ac:dyDescent="0.25">
      <c r="A13" s="75">
        <v>10406</v>
      </c>
      <c r="B13" s="32" t="s">
        <v>25</v>
      </c>
    </row>
    <row r="14" spans="1:2" x14ac:dyDescent="0.25">
      <c r="A14" s="75">
        <v>10499</v>
      </c>
      <c r="B14" s="32" t="s">
        <v>30</v>
      </c>
    </row>
    <row r="15" spans="1:2" x14ac:dyDescent="0.25">
      <c r="A15" s="75">
        <v>10501</v>
      </c>
      <c r="B15" s="32" t="s">
        <v>248</v>
      </c>
    </row>
    <row r="16" spans="1:2" x14ac:dyDescent="0.25">
      <c r="A16" s="75">
        <v>10502</v>
      </c>
      <c r="B16" s="32" t="s">
        <v>33</v>
      </c>
    </row>
    <row r="17" spans="1:2" x14ac:dyDescent="0.25">
      <c r="A17" s="75">
        <v>10601</v>
      </c>
      <c r="B17" s="32" t="s">
        <v>168</v>
      </c>
    </row>
    <row r="18" spans="1:2" x14ac:dyDescent="0.25">
      <c r="A18" s="75">
        <v>10701</v>
      </c>
      <c r="B18" s="32" t="s">
        <v>394</v>
      </c>
    </row>
    <row r="19" spans="1:2" x14ac:dyDescent="0.25">
      <c r="A19" s="75">
        <v>10801</v>
      </c>
      <c r="B19" s="32" t="s">
        <v>37</v>
      </c>
    </row>
    <row r="20" spans="1:2" x14ac:dyDescent="0.25">
      <c r="A20" s="75">
        <v>10804</v>
      </c>
      <c r="B20" s="32" t="s">
        <v>177</v>
      </c>
    </row>
    <row r="21" spans="1:2" x14ac:dyDescent="0.25">
      <c r="A21" s="75">
        <v>10805</v>
      </c>
      <c r="B21" s="32" t="s">
        <v>38</v>
      </c>
    </row>
    <row r="22" spans="1:2" x14ac:dyDescent="0.25">
      <c r="A22" s="75">
        <v>10806</v>
      </c>
      <c r="B22" s="32" t="s">
        <v>179</v>
      </c>
    </row>
    <row r="23" spans="1:2" x14ac:dyDescent="0.25">
      <c r="A23" s="75">
        <v>10807</v>
      </c>
      <c r="B23" s="32" t="s">
        <v>39</v>
      </c>
    </row>
    <row r="24" spans="1:2" x14ac:dyDescent="0.25">
      <c r="A24" s="75">
        <v>10808</v>
      </c>
      <c r="B24" s="32" t="s">
        <v>41</v>
      </c>
    </row>
    <row r="25" spans="1:2" x14ac:dyDescent="0.25">
      <c r="A25" s="75">
        <v>19902</v>
      </c>
      <c r="B25" s="32" t="s">
        <v>183</v>
      </c>
    </row>
    <row r="26" spans="1:2" x14ac:dyDescent="0.25">
      <c r="A26" s="75">
        <v>19905</v>
      </c>
      <c r="B26" s="32" t="s">
        <v>186</v>
      </c>
    </row>
    <row r="27" spans="1:2" x14ac:dyDescent="0.25">
      <c r="A27" s="75">
        <v>19999</v>
      </c>
      <c r="B27" s="32" t="s">
        <v>327</v>
      </c>
    </row>
    <row r="28" spans="1:2" x14ac:dyDescent="0.25">
      <c r="A28" s="75">
        <v>20101</v>
      </c>
      <c r="B28" s="32" t="s">
        <v>42</v>
      </c>
    </row>
    <row r="29" spans="1:2" x14ac:dyDescent="0.25">
      <c r="A29" s="75">
        <v>20102</v>
      </c>
      <c r="B29" s="32" t="s">
        <v>45</v>
      </c>
    </row>
    <row r="30" spans="1:2" x14ac:dyDescent="0.25">
      <c r="A30" s="75">
        <v>20104</v>
      </c>
      <c r="B30" s="32" t="s">
        <v>46</v>
      </c>
    </row>
    <row r="31" spans="1:2" x14ac:dyDescent="0.25">
      <c r="A31" s="75">
        <v>20203</v>
      </c>
      <c r="B31" s="32" t="s">
        <v>250</v>
      </c>
    </row>
    <row r="32" spans="1:2" x14ac:dyDescent="0.25">
      <c r="A32" s="75">
        <v>20304</v>
      </c>
      <c r="B32" s="32" t="s">
        <v>49</v>
      </c>
    </row>
    <row r="33" spans="1:2" x14ac:dyDescent="0.25">
      <c r="A33" s="75">
        <v>20401</v>
      </c>
      <c r="B33" s="32" t="s">
        <v>344</v>
      </c>
    </row>
    <row r="34" spans="1:2" x14ac:dyDescent="0.25">
      <c r="A34" s="75">
        <v>20402</v>
      </c>
      <c r="B34" s="32" t="s">
        <v>56</v>
      </c>
    </row>
    <row r="35" spans="1:2" x14ac:dyDescent="0.25">
      <c r="A35" s="75">
        <v>29901</v>
      </c>
      <c r="B35" s="32" t="s">
        <v>58</v>
      </c>
    </row>
    <row r="36" spans="1:2" x14ac:dyDescent="0.25">
      <c r="A36" s="75">
        <v>29902</v>
      </c>
      <c r="B36" s="32" t="s">
        <v>116</v>
      </c>
    </row>
    <row r="37" spans="1:2" x14ac:dyDescent="0.25">
      <c r="A37" s="75">
        <v>29903</v>
      </c>
      <c r="B37" s="32" t="s">
        <v>82</v>
      </c>
    </row>
    <row r="38" spans="1:2" x14ac:dyDescent="0.25">
      <c r="A38" s="75">
        <v>29905</v>
      </c>
      <c r="B38" s="32" t="s">
        <v>251</v>
      </c>
    </row>
    <row r="39" spans="1:2" x14ac:dyDescent="0.25">
      <c r="A39" s="75">
        <v>29999</v>
      </c>
      <c r="B39" s="32" t="s">
        <v>101</v>
      </c>
    </row>
    <row r="40" spans="1:2" x14ac:dyDescent="0.25">
      <c r="A40" s="75">
        <v>50103</v>
      </c>
      <c r="B40" s="32" t="s">
        <v>240</v>
      </c>
    </row>
    <row r="41" spans="1:2" x14ac:dyDescent="0.25">
      <c r="A41" s="75">
        <v>50104</v>
      </c>
      <c r="B41" s="32" t="s">
        <v>303</v>
      </c>
    </row>
    <row r="42" spans="1:2" x14ac:dyDescent="0.25">
      <c r="A42" s="75">
        <v>50105</v>
      </c>
      <c r="B42" s="32" t="s">
        <v>325</v>
      </c>
    </row>
    <row r="43" spans="1:2" x14ac:dyDescent="0.25">
      <c r="A43" s="75">
        <v>59903</v>
      </c>
      <c r="B43" s="32" t="s">
        <v>401</v>
      </c>
    </row>
    <row r="44" spans="1:2" x14ac:dyDescent="0.25">
      <c r="A44" s="72">
        <v>60601</v>
      </c>
      <c r="B44" s="72" t="s">
        <v>408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E623DE6FAF9B488A3E9B9A2F30CDFF" ma:contentTypeVersion="11" ma:contentTypeDescription="Create a new document." ma:contentTypeScope="" ma:versionID="fcdbf238e8b5b5c51fbf8ca6e7a774aa">
  <xsd:schema xmlns:xsd="http://www.w3.org/2001/XMLSchema" xmlns:xs="http://www.w3.org/2001/XMLSchema" xmlns:p="http://schemas.microsoft.com/office/2006/metadata/properties" xmlns:ns3="82cff55d-8cbd-468c-b56a-c6a8d9fa8107" xmlns:ns4="fd999a55-ec9c-4013-826c-ac087fde5a0d" targetNamespace="http://schemas.microsoft.com/office/2006/metadata/properties" ma:root="true" ma:fieldsID="937f5130c00e0105ea02b8e856dcb0fc" ns3:_="" ns4:_="">
    <xsd:import namespace="82cff55d-8cbd-468c-b56a-c6a8d9fa8107"/>
    <xsd:import namespace="fd999a55-ec9c-4013-826c-ac087fde5a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ff55d-8cbd-468c-b56a-c6a8d9fa8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999a55-ec9c-4013-826c-ac087fde5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94A99A-99E5-4551-A579-CBE6654AE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DB609E-DCA9-4D1D-9DE6-7F22EF2F3D66}">
  <ds:schemaRefs>
    <ds:schemaRef ds:uri="http://purl.org/dc/dcmitype/"/>
    <ds:schemaRef ds:uri="http://schemas.microsoft.com/office/infopath/2007/PartnerControls"/>
    <ds:schemaRef ds:uri="http://purl.org/dc/terms/"/>
    <ds:schemaRef ds:uri="fd999a55-ec9c-4013-826c-ac087fde5a0d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82cff55d-8cbd-468c-b56a-c6a8d9fa810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E0FF562-1DD3-4640-A14F-BC643EB24F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ff55d-8cbd-468c-b56a-c6a8d9fa8107"/>
    <ds:schemaRef ds:uri="fd999a55-ec9c-4013-826c-ac087fde5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PROGRAMA 16900</vt:lpstr>
      <vt:lpstr>RESUMEN I MOD. 169</vt:lpstr>
      <vt:lpstr>Hoja1</vt:lpstr>
      <vt:lpstr>Referencias</vt:lpstr>
      <vt:lpstr>Hoja5</vt:lpstr>
      <vt:lpstr>Comparativo</vt:lpstr>
      <vt:lpstr>DescripPartidas</vt:lpstr>
      <vt:lpstr>' PROGRAMA 16900'!_Hlt57100974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2022-09-16T15:35:14Z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0x01010082E623DE6FAF9B488A3E9B9A2F30CDFF</vt:lpwstr>
  </property>
</Properties>
</file>